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gath.sharepoint.com/sites/DigitalStandardSD/Shared Documents/SD2/2569_SD2/2569_Data Classification Revised/01_Document/01_CD/Tool/"/>
    </mc:Choice>
  </mc:AlternateContent>
  <xr:revisionPtr revIDLastSave="577" documentId="8_{A1E6BF6F-0B3E-43FE-84A4-4C15E1EF2DF8}" xr6:coauthVersionLast="47" xr6:coauthVersionMax="47" xr10:uidLastSave="{07E72188-C32D-46C3-94E4-2D7E640ABE72}"/>
  <bookViews>
    <workbookView xWindow="-110" yWindow="-110" windowWidth="19420" windowHeight="10300" firstSheet="3" activeTab="3" xr2:uid="{FF150FC9-6F7A-4226-8737-1738F5EA24C6}"/>
  </bookViews>
  <sheets>
    <sheet name="Test10_Part2 (2)" sheetId="13" state="hidden" r:id="rId1"/>
    <sheet name="Risk Draft" sheetId="17" state="hidden" r:id="rId2"/>
    <sheet name="Introduction" sheetId="26" r:id="rId3"/>
    <sheet name="Assessment Tools" sheetId="20" r:id="rId4"/>
    <sheet name="หมวดหมู่ข้อมูล" sheetId="3" state="hidden" r:id="rId5"/>
    <sheet name="Dropdown" sheetId="12" r:id="rId6"/>
    <sheet name="Calculation Sheet" sheetId="23" r:id="rId7"/>
    <sheet name="Logic" sheetId="18" state="hidden" r:id="rId8"/>
    <sheet name="Logic 1" sheetId="24" state="hidden" r:id="rId9"/>
  </sheets>
  <definedNames>
    <definedName name="Availability">Dropdown!$E$12:$E$14</definedName>
    <definedName name="CloudOptions">Dropdown!$D$95:$D$96</definedName>
    <definedName name="Confidentiality">Dropdown!$C$12:$C$14</definedName>
    <definedName name="CSP">Dropdown!$J$2:$J$3</definedName>
    <definedName name="empty">Dropdown!$K$4</definedName>
    <definedName name="empty1" localSheetId="0">'Test10_Part2 (2)'!$D$34</definedName>
    <definedName name="finance">Dropdown!$E$38:$E$40</definedName>
    <definedName name="Integrity">Dropdown!$D$12:$D$14</definedName>
    <definedName name="law">Dropdown!$F$38:$F$40</definedName>
    <definedName name="Likelihood">Dropdown!$J$38:$J$42</definedName>
    <definedName name="list1" localSheetId="0">'Test10_Part2 (2)'!$D$35:$D$36</definedName>
    <definedName name="list1">Dropdown!$K$2:$K$3</definedName>
    <definedName name="Operation">Dropdown!$D$38:$D$40</definedName>
    <definedName name="reputation">Dropdown!$C$38:$C$40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20" l="1"/>
  <c r="C21" i="20"/>
  <c r="B19" i="20"/>
  <c r="C20" i="20"/>
  <c r="E18" i="20"/>
  <c r="F17" i="20"/>
  <c r="B22" i="20"/>
  <c r="F16" i="20"/>
  <c r="E17" i="20"/>
  <c r="C14" i="23"/>
  <c r="C9" i="23" a="1"/>
  <c r="C23" i="20"/>
  <c r="C22" i="20"/>
  <c r="C18" i="20"/>
  <c r="F10" i="23"/>
  <c r="G10" i="23" s="1"/>
  <c r="E61" i="23"/>
  <c r="F61" i="23" s="1"/>
  <c r="D6" i="12"/>
  <c r="B4" i="20"/>
  <c r="D5" i="12"/>
  <c r="D4" i="12"/>
  <c r="B5" i="20"/>
  <c r="B21" i="20"/>
  <c r="B20" i="20"/>
  <c r="B18" i="20"/>
  <c r="B79" i="20"/>
  <c r="C42" i="23"/>
  <c r="C69" i="23"/>
  <c r="P12" i="18"/>
  <c r="P11" i="18"/>
  <c r="P10" i="18"/>
  <c r="P9" i="18"/>
  <c r="P8" i="18"/>
  <c r="P7" i="18"/>
  <c r="P6" i="18"/>
  <c r="N12" i="18"/>
  <c r="N11" i="18"/>
  <c r="N10" i="18"/>
  <c r="N9" i="18"/>
  <c r="N8" i="18"/>
  <c r="N7" i="18"/>
  <c r="N6" i="18"/>
  <c r="L10" i="18"/>
  <c r="L8" i="18"/>
  <c r="J10" i="18"/>
  <c r="J9" i="18"/>
  <c r="J8" i="18"/>
  <c r="J7" i="18"/>
  <c r="J6" i="18"/>
  <c r="H8" i="18"/>
  <c r="H9" i="18"/>
  <c r="H7" i="18"/>
  <c r="H6" i="18"/>
  <c r="F8" i="18"/>
  <c r="L6" i="18"/>
  <c r="L7" i="18"/>
  <c r="L9" i="18"/>
  <c r="L11" i="18"/>
  <c r="P13" i="18"/>
  <c r="E62" i="23"/>
  <c r="F62" i="23" s="1"/>
  <c r="E63" i="23"/>
  <c r="F63" i="23" s="1"/>
  <c r="E64" i="23"/>
  <c r="F64" i="23" s="1"/>
  <c r="E60" i="23"/>
  <c r="F60" i="23" s="1"/>
  <c r="C61" i="23"/>
  <c r="D61" i="23" s="1"/>
  <c r="C62" i="23"/>
  <c r="D62" i="23" s="1"/>
  <c r="C63" i="23"/>
  <c r="D63" i="23" s="1"/>
  <c r="C60" i="23"/>
  <c r="C36" i="23"/>
  <c r="D36" i="23" s="1"/>
  <c r="C37" i="23"/>
  <c r="D37" i="23" s="1"/>
  <c r="C35" i="23"/>
  <c r="D35" i="23" s="1"/>
  <c r="D75" i="23"/>
  <c r="D11" i="23" l="1"/>
  <c r="C9" i="23"/>
  <c r="D10" i="23"/>
  <c r="E38" i="23"/>
  <c r="D38" i="23"/>
  <c r="D60" i="23"/>
  <c r="G60" i="23" s="1"/>
  <c r="D13" i="23"/>
  <c r="D14" i="23"/>
  <c r="G15" i="18"/>
  <c r="D12" i="23"/>
  <c r="G63" i="23"/>
  <c r="G61" i="23"/>
  <c r="G62" i="23"/>
  <c r="E78" i="20"/>
  <c r="K89" i="18"/>
  <c r="M89" i="18"/>
  <c r="R89" i="18"/>
  <c r="T89" i="18"/>
  <c r="Y89" i="18"/>
  <c r="AA89" i="18"/>
  <c r="AF89" i="18"/>
  <c r="AH89" i="18"/>
  <c r="K90" i="18"/>
  <c r="M90" i="18"/>
  <c r="R90" i="18"/>
  <c r="T90" i="18"/>
  <c r="Y90" i="18"/>
  <c r="AA90" i="18"/>
  <c r="AF90" i="18"/>
  <c r="AH90" i="18"/>
  <c r="K91" i="18"/>
  <c r="M91" i="18"/>
  <c r="R91" i="18"/>
  <c r="T91" i="18"/>
  <c r="Y91" i="18"/>
  <c r="AA91" i="18"/>
  <c r="AF91" i="18"/>
  <c r="AH91" i="18"/>
  <c r="K92" i="18"/>
  <c r="M92" i="18"/>
  <c r="R92" i="18"/>
  <c r="T92" i="18"/>
  <c r="Y92" i="18"/>
  <c r="AA92" i="18"/>
  <c r="AF92" i="18"/>
  <c r="AH92" i="18"/>
  <c r="K93" i="18"/>
  <c r="M93" i="18"/>
  <c r="R93" i="18"/>
  <c r="T93" i="18"/>
  <c r="Y93" i="18"/>
  <c r="AA93" i="18"/>
  <c r="AF93" i="18"/>
  <c r="AH93" i="18"/>
  <c r="J27" i="18"/>
  <c r="L27" i="18"/>
  <c r="L23" i="18"/>
  <c r="J23" i="18"/>
  <c r="F6" i="18"/>
  <c r="D6" i="18"/>
  <c r="L21" i="18"/>
  <c r="H21" i="18"/>
  <c r="J21" i="18"/>
  <c r="D21" i="18"/>
  <c r="F21" i="18"/>
  <c r="H23" i="18"/>
  <c r="F23" i="18"/>
  <c r="D61" i="18"/>
  <c r="F61" i="18"/>
  <c r="H61" i="18"/>
  <c r="J61" i="18"/>
  <c r="O61" i="18"/>
  <c r="Q61" i="18"/>
  <c r="S61" i="18"/>
  <c r="V61" i="18"/>
  <c r="X61" i="18"/>
  <c r="Z61" i="18"/>
  <c r="AB61" i="18"/>
  <c r="AB48" i="18"/>
  <c r="Z48" i="18"/>
  <c r="X48" i="18"/>
  <c r="V48" i="18"/>
  <c r="S48" i="18"/>
  <c r="Q48" i="18"/>
  <c r="O48" i="18"/>
  <c r="M48" i="18"/>
  <c r="J48" i="18"/>
  <c r="H48" i="18"/>
  <c r="F48" i="18"/>
  <c r="D48" i="18"/>
  <c r="M61" i="18"/>
  <c r="AB59" i="18"/>
  <c r="Z59" i="18"/>
  <c r="X59" i="18"/>
  <c r="V59" i="18"/>
  <c r="S59" i="18"/>
  <c r="Q59" i="18"/>
  <c r="O59" i="18"/>
  <c r="M59" i="18"/>
  <c r="J59" i="18"/>
  <c r="H59" i="18"/>
  <c r="F59" i="18"/>
  <c r="D59" i="18"/>
  <c r="AB58" i="18"/>
  <c r="Z58" i="18"/>
  <c r="X58" i="18"/>
  <c r="V58" i="18"/>
  <c r="S58" i="18"/>
  <c r="Q58" i="18"/>
  <c r="O58" i="18"/>
  <c r="M58" i="18"/>
  <c r="J58" i="18"/>
  <c r="H58" i="18"/>
  <c r="F58" i="18"/>
  <c r="D58" i="18"/>
  <c r="AB57" i="18"/>
  <c r="Z57" i="18"/>
  <c r="X57" i="18"/>
  <c r="V57" i="18"/>
  <c r="V60" i="18" s="1"/>
  <c r="U60" i="18" s="1"/>
  <c r="S57" i="18"/>
  <c r="Q57" i="18"/>
  <c r="O57" i="18"/>
  <c r="M57" i="18"/>
  <c r="J57" i="18"/>
  <c r="H57" i="18"/>
  <c r="F57" i="18"/>
  <c r="D57" i="18"/>
  <c r="F22" i="18"/>
  <c r="F7" i="18"/>
  <c r="AO75" i="18"/>
  <c r="AM75" i="18"/>
  <c r="AO74" i="18"/>
  <c r="AM74" i="18"/>
  <c r="AO73" i="18"/>
  <c r="AM73" i="18"/>
  <c r="AO72" i="18"/>
  <c r="AM72" i="18"/>
  <c r="AO71" i="18"/>
  <c r="AM71" i="18"/>
  <c r="AH75" i="18"/>
  <c r="AF75" i="18"/>
  <c r="AH74" i="18"/>
  <c r="AF74" i="18"/>
  <c r="AH73" i="18"/>
  <c r="AF73" i="18"/>
  <c r="AH72" i="18"/>
  <c r="AF72" i="18"/>
  <c r="AH71" i="18"/>
  <c r="AF71" i="18"/>
  <c r="M74" i="18"/>
  <c r="K74" i="18"/>
  <c r="M73" i="18"/>
  <c r="K73" i="18"/>
  <c r="M72" i="18"/>
  <c r="K72" i="18"/>
  <c r="M71" i="18"/>
  <c r="K71" i="18"/>
  <c r="AA75" i="18"/>
  <c r="Y75" i="18"/>
  <c r="AA74" i="18"/>
  <c r="Y74" i="18"/>
  <c r="AA73" i="18"/>
  <c r="Y73" i="18"/>
  <c r="AA72" i="18"/>
  <c r="Y72" i="18"/>
  <c r="AA71" i="18"/>
  <c r="Y71" i="18"/>
  <c r="T75" i="18"/>
  <c r="R75" i="18"/>
  <c r="T74" i="18"/>
  <c r="R74" i="18"/>
  <c r="T73" i="18"/>
  <c r="R73" i="18"/>
  <c r="T72" i="18"/>
  <c r="R72" i="18"/>
  <c r="T71" i="18"/>
  <c r="R71" i="18"/>
  <c r="M75" i="18"/>
  <c r="K75" i="18"/>
  <c r="D75" i="18"/>
  <c r="F75" i="18"/>
  <c r="F74" i="18"/>
  <c r="D74" i="18"/>
  <c r="F73" i="18"/>
  <c r="D73" i="18"/>
  <c r="F72" i="18"/>
  <c r="D72" i="18"/>
  <c r="F71" i="18"/>
  <c r="D71" i="18"/>
  <c r="AB46" i="18"/>
  <c r="Z46" i="18"/>
  <c r="X46" i="18"/>
  <c r="V46" i="18"/>
  <c r="AB45" i="18"/>
  <c r="Z45" i="18"/>
  <c r="X45" i="18"/>
  <c r="V45" i="18"/>
  <c r="AB44" i="18"/>
  <c r="Z44" i="18"/>
  <c r="X44" i="18"/>
  <c r="V44" i="18"/>
  <c r="S46" i="18"/>
  <c r="Q46" i="18"/>
  <c r="O46" i="18"/>
  <c r="M46" i="18"/>
  <c r="S45" i="18"/>
  <c r="Q45" i="18"/>
  <c r="O45" i="18"/>
  <c r="M45" i="18"/>
  <c r="S44" i="18"/>
  <c r="Q44" i="18"/>
  <c r="O44" i="18"/>
  <c r="M44" i="18"/>
  <c r="J46" i="18"/>
  <c r="J45" i="18"/>
  <c r="J44" i="18"/>
  <c r="H46" i="18"/>
  <c r="H45" i="18"/>
  <c r="H44" i="18"/>
  <c r="F46" i="18"/>
  <c r="F45" i="18"/>
  <c r="F44" i="18"/>
  <c r="D46" i="18"/>
  <c r="D45" i="18"/>
  <c r="D44" i="18"/>
  <c r="L25" i="18"/>
  <c r="J25" i="18"/>
  <c r="H25" i="18"/>
  <c r="D25" i="18"/>
  <c r="L22" i="18"/>
  <c r="J22" i="18"/>
  <c r="H22" i="18"/>
  <c r="D22" i="18"/>
  <c r="D7" i="18"/>
  <c r="D11" i="18"/>
  <c r="B7" i="18"/>
  <c r="C46" i="20" l="1"/>
  <c r="C47" i="20"/>
  <c r="C41" i="23"/>
  <c r="C38" i="23"/>
  <c r="D44" i="20" s="1"/>
  <c r="AB90" i="18"/>
  <c r="AI91" i="18"/>
  <c r="X60" i="18"/>
  <c r="W60" i="18" s="1"/>
  <c r="AI93" i="18"/>
  <c r="D60" i="18"/>
  <c r="C60" i="18" s="1"/>
  <c r="AI90" i="18"/>
  <c r="AB89" i="18"/>
  <c r="AI89" i="18"/>
  <c r="N93" i="18"/>
  <c r="AB91" i="18"/>
  <c r="U90" i="18"/>
  <c r="AI92" i="18"/>
  <c r="U91" i="18"/>
  <c r="AB93" i="18"/>
  <c r="N92" i="18"/>
  <c r="U93" i="18"/>
  <c r="AB92" i="18"/>
  <c r="U92" i="18"/>
  <c r="U89" i="18"/>
  <c r="N91" i="18"/>
  <c r="N89" i="18"/>
  <c r="N90" i="18"/>
  <c r="Q60" i="18"/>
  <c r="U62" i="18" a="1"/>
  <c r="U62" i="18" s="1"/>
  <c r="O60" i="18"/>
  <c r="J60" i="18"/>
  <c r="I60" i="18" s="1"/>
  <c r="M47" i="18"/>
  <c r="L49" i="18" s="1" a="1"/>
  <c r="L49" i="18" s="1"/>
  <c r="V47" i="18"/>
  <c r="U49" i="18" s="1" a="1"/>
  <c r="U49" i="18" s="1"/>
  <c r="F47" i="18"/>
  <c r="E47" i="18" s="1"/>
  <c r="M60" i="18"/>
  <c r="H60" i="18"/>
  <c r="J47" i="18"/>
  <c r="I47" i="18" s="1"/>
  <c r="Z60" i="18"/>
  <c r="AB60" i="18"/>
  <c r="S60" i="18"/>
  <c r="R62" i="18" s="1" a="1"/>
  <c r="R62" i="18" s="1"/>
  <c r="X47" i="18"/>
  <c r="W47" i="18" s="1"/>
  <c r="S47" i="18"/>
  <c r="R49" i="18" s="1" a="1"/>
  <c r="R49" i="18" s="1"/>
  <c r="AB47" i="18"/>
  <c r="AA49" i="18" s="1" a="1"/>
  <c r="AA49" i="18" s="1"/>
  <c r="H47" i="18"/>
  <c r="G49" i="18" s="1" a="1"/>
  <c r="G49" i="18" s="1"/>
  <c r="Q47" i="18"/>
  <c r="P49" i="18" s="1" a="1"/>
  <c r="P49" i="18" s="1"/>
  <c r="Z47" i="18"/>
  <c r="Y47" i="18" s="1"/>
  <c r="O47" i="18"/>
  <c r="N49" i="18" s="1" a="1"/>
  <c r="N49" i="18" s="1"/>
  <c r="F60" i="18"/>
  <c r="AI72" i="18"/>
  <c r="AP72" i="18"/>
  <c r="G71" i="18"/>
  <c r="AP73" i="18"/>
  <c r="E15" i="18"/>
  <c r="AP71" i="18"/>
  <c r="AP75" i="18"/>
  <c r="AP74" i="18"/>
  <c r="N71" i="18"/>
  <c r="AI74" i="18"/>
  <c r="AB75" i="18"/>
  <c r="AI75" i="18"/>
  <c r="AI71" i="18"/>
  <c r="AI73" i="18"/>
  <c r="AB71" i="18"/>
  <c r="N72" i="18"/>
  <c r="N75" i="18"/>
  <c r="AB72" i="18"/>
  <c r="N73" i="18"/>
  <c r="N74" i="18"/>
  <c r="AB74" i="18"/>
  <c r="U73" i="18"/>
  <c r="U74" i="18"/>
  <c r="AB73" i="18"/>
  <c r="U75" i="18"/>
  <c r="U72" i="18"/>
  <c r="U71" i="18"/>
  <c r="G75" i="18"/>
  <c r="G73" i="18"/>
  <c r="G74" i="18"/>
  <c r="G72" i="18"/>
  <c r="C31" i="18"/>
  <c r="D47" i="18"/>
  <c r="C49" i="18" s="1" a="1"/>
  <c r="C49" i="18" s="1"/>
  <c r="C15" i="18"/>
  <c r="G31" i="18"/>
  <c r="E31" i="18"/>
  <c r="I31" i="18"/>
  <c r="K31" i="18"/>
  <c r="M15" i="18"/>
  <c r="I15" i="18"/>
  <c r="K15" i="18"/>
  <c r="B49" i="23" l="1"/>
  <c r="B48" i="23"/>
  <c r="W62" i="18" a="1"/>
  <c r="W62" i="18" s="1"/>
  <c r="I49" i="18" a="1"/>
  <c r="I49" i="18" s="1"/>
  <c r="C62" i="18" a="1"/>
  <c r="C62" i="18" s="1"/>
  <c r="AF94" i="18"/>
  <c r="AE94" i="18" s="1"/>
  <c r="Y94" i="18"/>
  <c r="X94" i="18" s="1"/>
  <c r="R94" i="18"/>
  <c r="R95" i="18" s="1"/>
  <c r="Q98" i="18" s="1"/>
  <c r="R98" i="18" s="1"/>
  <c r="S98" i="18" s="1"/>
  <c r="K76" i="18"/>
  <c r="K94" i="18"/>
  <c r="J94" i="18" s="1"/>
  <c r="R76" i="18"/>
  <c r="Y76" i="18"/>
  <c r="AF76" i="18"/>
  <c r="B47" i="23" a="1"/>
  <c r="B47" i="23" s="1"/>
  <c r="B46" i="23" s="1"/>
  <c r="C64" i="23"/>
  <c r="D69" i="20"/>
  <c r="Y49" i="18" a="1"/>
  <c r="Y49" i="18" s="1"/>
  <c r="E49" i="18" a="1"/>
  <c r="E49" i="18" s="1"/>
  <c r="W49" i="18" a="1"/>
  <c r="W49" i="18" s="1"/>
  <c r="P47" i="18"/>
  <c r="AA60" i="18"/>
  <c r="AA62" i="18" a="1"/>
  <c r="AA62" i="18" s="1"/>
  <c r="I62" i="18" a="1"/>
  <c r="I62" i="18" s="1"/>
  <c r="U47" i="18"/>
  <c r="Y60" i="18"/>
  <c r="Y62" i="18" a="1"/>
  <c r="Y62" i="18" s="1"/>
  <c r="N60" i="18"/>
  <c r="N62" i="18" a="1"/>
  <c r="N62" i="18" s="1"/>
  <c r="L47" i="18"/>
  <c r="E60" i="18"/>
  <c r="E62" i="18" a="1"/>
  <c r="E62" i="18" s="1"/>
  <c r="G60" i="18"/>
  <c r="G62" i="18" a="1"/>
  <c r="G62" i="18" s="1"/>
  <c r="P60" i="18"/>
  <c r="P62" i="18" a="1"/>
  <c r="P62" i="18" s="1"/>
  <c r="L60" i="18"/>
  <c r="L62" i="18" a="1"/>
  <c r="L62" i="18" s="1"/>
  <c r="R47" i="18"/>
  <c r="R60" i="18"/>
  <c r="AA47" i="18"/>
  <c r="G47" i="18"/>
  <c r="N47" i="18"/>
  <c r="AM76" i="18"/>
  <c r="D76" i="18"/>
  <c r="C80" i="18" s="1"/>
  <c r="C47" i="18"/>
  <c r="D64" i="23" l="1"/>
  <c r="G64" i="23" s="1"/>
  <c r="D65" i="23" s="1"/>
  <c r="E65" i="23" s="1"/>
  <c r="C54" i="20"/>
  <c r="D46" i="20"/>
  <c r="C49" i="23" a="1"/>
  <c r="C49" i="23" s="1"/>
  <c r="Y95" i="18"/>
  <c r="X98" i="18" s="1"/>
  <c r="Y98" i="18" s="1"/>
  <c r="Z98" i="18" s="1"/>
  <c r="Q94" i="18"/>
  <c r="K95" i="18"/>
  <c r="J98" i="18" s="1"/>
  <c r="K98" i="18" s="1"/>
  <c r="L98" i="18" s="1"/>
  <c r="AF95" i="18"/>
  <c r="AE98" i="18" s="1"/>
  <c r="AF98" i="18" s="1"/>
  <c r="AG98" i="18" s="1"/>
  <c r="AE80" i="18"/>
  <c r="AF80" i="18" s="1"/>
  <c r="AG80" i="18" s="1"/>
  <c r="AE76" i="18"/>
  <c r="J80" i="18"/>
  <c r="K80" i="18" s="1"/>
  <c r="L80" i="18" s="1"/>
  <c r="J76" i="18"/>
  <c r="X80" i="18"/>
  <c r="Y80" i="18" s="1"/>
  <c r="Z80" i="18" s="1"/>
  <c r="X76" i="18"/>
  <c r="Q76" i="18"/>
  <c r="Q80" i="18"/>
  <c r="R80" i="18" s="1"/>
  <c r="S80" i="18" s="1"/>
  <c r="D80" i="18"/>
  <c r="AL76" i="18"/>
  <c r="AL80" i="18"/>
  <c r="AM80" i="18" s="1"/>
  <c r="AN80" i="18" s="1"/>
  <c r="C76" i="18"/>
  <c r="C73" i="20" l="1"/>
  <c r="C72" i="20"/>
  <c r="D72" i="20" s="1"/>
  <c r="C68" i="23"/>
  <c r="C48" i="23"/>
  <c r="D49" i="23"/>
  <c r="E54" i="20" s="1"/>
  <c r="D54" i="20"/>
  <c r="C53" i="20"/>
  <c r="C52" i="20"/>
  <c r="C51" i="20" s="1"/>
  <c r="E80" i="18"/>
  <c r="B74" i="23" l="1"/>
  <c r="D48" i="23"/>
  <c r="E53" i="20" s="1"/>
  <c r="D53" i="20"/>
  <c r="F10" i="13"/>
  <c r="F9" i="13"/>
  <c r="D9" i="13"/>
  <c r="G9" i="13" s="1"/>
  <c r="F8" i="13"/>
  <c r="D8" i="13"/>
  <c r="G8" i="13" s="1"/>
  <c r="F7" i="13"/>
  <c r="G7" i="13" s="1"/>
  <c r="D7" i="13"/>
  <c r="V6" i="13"/>
  <c r="G6" i="13"/>
  <c r="F6" i="13"/>
  <c r="D6" i="13"/>
  <c r="C77" i="20" l="1"/>
  <c r="C10" i="13" l="1"/>
  <c r="D10" i="13" s="1"/>
  <c r="G10" i="13" s="1"/>
  <c r="D11" i="13" s="1"/>
  <c r="B15" i="13" l="1"/>
  <c r="C14" i="13"/>
  <c r="B14" i="13"/>
  <c r="U5" i="13"/>
  <c r="U6" i="13" s="1"/>
  <c r="U7" i="13" s="1"/>
  <c r="D22" i="13" s="1"/>
  <c r="E22" i="13" s="1"/>
  <c r="C11" i="13"/>
  <c r="W6" i="13"/>
  <c r="X6" i="13" s="1"/>
  <c r="Y6" i="13" s="1"/>
  <c r="C22" i="13" s="1"/>
  <c r="D9" i="23"/>
  <c r="C15" i="23" l="1" a="1"/>
  <c r="C15" i="23" s="1"/>
  <c r="B25" i="23" s="1"/>
  <c r="B76" i="23" a="1"/>
  <c r="B76" i="23" s="1"/>
  <c r="C79" i="20" s="1"/>
  <c r="B26" i="23" a="1"/>
  <c r="B26" i="23" s="1"/>
  <c r="C30" i="20" s="1"/>
  <c r="B24" i="23" l="1"/>
  <c r="C25" i="23"/>
  <c r="C70" i="23"/>
  <c r="C26" i="23"/>
  <c r="D26" i="23" s="1"/>
  <c r="C28" i="20" l="1"/>
  <c r="B23" i="23"/>
  <c r="B22" i="23"/>
  <c r="C26" i="20" s="1"/>
  <c r="D25" i="23"/>
  <c r="E29" i="20" s="1"/>
  <c r="D29" i="20"/>
  <c r="C65" i="23"/>
  <c r="D70" i="20" s="1"/>
  <c r="C76" i="23" a="1"/>
  <c r="C76" i="23" s="1"/>
  <c r="B77" i="23" s="1"/>
  <c r="C80" i="20" s="1"/>
  <c r="D30" i="20"/>
  <c r="E30" i="20"/>
  <c r="C29" i="20" l="1"/>
  <c r="C27" i="20"/>
  <c r="D79" i="20"/>
  <c r="D76" i="23"/>
  <c r="E79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tc={C8FADD44-4A70-4E91-9FCC-A9C968FF44AD}</author>
    <author>tc={D0B84A75-4EAD-48C4-A187-6600D00DB03F}</author>
    <author>tc={E2B2B5B6-703B-4F68-8ACE-4CCC772844AD}</author>
  </authors>
  <commentList>
    <comment ref="E38" authorId="0" shapeId="0" xr:uid="{C8FADD44-4A70-4E91-9FCC-A9C968FF44AD}">
      <text>
        <t>[Threaded comment]
Your version of Excel allows you to read this threaded comment; however, any edits to it will get removed if the file is opened in a newer version of Excel. Learn more: https://go.microsoft.com/fwlink/?linkid=870924
Comment:
    ก่อนปัดเศษ</t>
      </text>
    </comment>
    <comment ref="B42" authorId="1" shapeId="0" xr:uid="{D0B84A75-4EAD-48C4-A187-6600D00DB03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ถ้าสอดคล้องตามแผน ตาม Part1
 ให้แสดงค่า 3 , ไม่ =0
</t>
      </text>
    </comment>
    <comment ref="B69" authorId="2" shapeId="0" xr:uid="{E2B2B5B6-703B-4F68-8ACE-4CCC772844A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ถ้าสอดคล้องตามแผน ตาม Part1
 ให้แสดงค่า 3 , ไม่ =0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tc={FE54246D-1D82-4203-BD7C-A52ACF6E5C05}</author>
    <author>tc={7F904588-A997-4013-8C98-ED176B643CC5}</author>
    <author>tc={572C3589-BF86-4F47-AEC4-372F4D6FD1BD}</author>
    <author>tc={2153EEEA-BF8C-4CE2-9245-60232D833B44}</author>
    <author>tc={2AE4D06A-BB30-4023-8874-437DC37B5AA5}</author>
    <author>tc={EA845472-3941-4BE4-A38E-724F669240BC}</author>
    <author>tc={047BF4D9-192E-4584-B42B-E733A1E6658B}</author>
    <author>tc={214CDA74-B88B-4CF9-8BD6-5C39C671D12D}</author>
    <author>tc={FD7F6F75-1A16-4C35-B98B-E398ECEAC3AD}</author>
    <author>tc={C39FB133-ED43-4C81-B906-677A8BD00159}</author>
    <author>tc={AD109EE3-289E-4AD3-B086-988DF52C08E0}</author>
  </authors>
  <commentList>
    <comment ref="B16" authorId="0" shapeId="0" xr:uid="{FE54246D-1D82-4203-BD7C-A52ACF6E5C05}">
      <text>
        <t>[Threaded comment]
Your version of Excel allows you to read this threaded comment; however, any edits to it will get removed if the file is opened in a newer version of Excel. Learn more: https://go.microsoft.com/fwlink/?linkid=870924
Comment:
    เลขรวมแสดงค่าให้ดู แต่ใช้ในการประเมินไม่ได้ เพราะมีค่าซ้ำกัน</t>
      </text>
    </comment>
    <comment ref="B33" authorId="1" shapeId="0" xr:uid="{7F904588-A997-4013-8C98-ED176B643CC5}">
      <text>
        <t>[Threaded comment]
Your version of Excel allows you to read this threaded comment; however, any edits to it will get removed if the file is opened in a newer version of Excel. Learn more: https://go.microsoft.com/fwlink/?linkid=870924
Comment:
    เลขรวมแสดงค่าให้ดู แต่ใช้ในการประเมินไม่ได้ เพราะมีค่าซ้ำกัน</t>
      </text>
    </comment>
    <comment ref="B49" authorId="2" shapeId="0" xr:uid="{572C3589-BF86-4F47-AEC4-372F4D6FD1B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นับเงื่อนไข
</t>
      </text>
    </comment>
    <comment ref="B62" authorId="3" shapeId="0" xr:uid="{2153EEEA-BF8C-4CE2-9245-60232D833B4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นับเงื่อนไข
</t>
      </text>
    </comment>
    <comment ref="B75" authorId="4" shapeId="0" xr:uid="{2AE4D06A-BB30-4023-8874-437DC37B5AA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เอามาจากส่วนที่2
</t>
      </text>
    </comment>
    <comment ref="B78" authorId="5" shapeId="0" xr:uid="{EA845472-3941-4BE4-A38E-724F669240B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นับเงื่อนไข
</t>
      </text>
    </comment>
    <comment ref="B93" authorId="6" shapeId="0" xr:uid="{047BF4D9-192E-4584-B42B-E733A1E6658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เอามาจากส่วนที่2
</t>
      </text>
    </comment>
    <comment ref="J95" authorId="7" shapeId="0" xr:uid="{214CDA74-B88B-4CF9-8BD6-5C39C671D12D}">
      <text>
        <t>[Threaded comment]
Your version of Excel allows you to read this threaded comment; however, any edits to it will get removed if the file is opened in a newer version of Excel. Learn more: https://go.microsoft.com/fwlink/?linkid=870924
Comment:
    เห็นแต่หลังบ้าน</t>
      </text>
    </comment>
    <comment ref="Q95" authorId="8" shapeId="0" xr:uid="{FD7F6F75-1A16-4C35-B98B-E398ECEAC3AD}">
      <text>
        <t>[Threaded comment]
Your version of Excel allows you to read this threaded comment; however, any edits to it will get removed if the file is opened in a newer version of Excel. Learn more: https://go.microsoft.com/fwlink/?linkid=870924
Comment:
    เห็นแต่หลังบ้าน</t>
      </text>
    </comment>
    <comment ref="X95" authorId="9" shapeId="0" xr:uid="{C39FB133-ED43-4C81-B906-677A8BD00159}">
      <text>
        <t>[Threaded comment]
Your version of Excel allows you to read this threaded comment; however, any edits to it will get removed if the file is opened in a newer version of Excel. Learn more: https://go.microsoft.com/fwlink/?linkid=870924
Comment:
    เห็นแต่หลังบ้าน</t>
      </text>
    </comment>
    <comment ref="AE95" authorId="10" shapeId="0" xr:uid="{AD109EE3-289E-4AD3-B086-988DF52C08E0}">
      <text>
        <t>[Threaded comment]
Your version of Excel allows you to read this threaded comment; however, any edits to it will get removed if the file is opened in a newer version of Excel. Learn more: https://go.microsoft.com/fwlink/?linkid=870924
Comment:
    เห็นแต่หลังบ้าน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tc={B3AC946E-6EA3-42D9-8E74-A968FAF7044D}</author>
  </authors>
  <commentList>
    <comment ref="X2" authorId="0" shapeId="0" xr:uid="{B3AC946E-6EA3-42D9-8E74-A968FAF7044D}">
      <text>
        <t>[Threaded comment]
Your version of Excel allows you to read this threaded comment; however, any edits to it will get removed if the file is opened in a newer version of Excel. Learn more: https://go.microsoft.com/fwlink/?linkid=870924
Comment:
    ผลจาก CIA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<sst xmlns="http://schemas.openxmlformats.org/spreadsheetml/2006/main" count="1020" uniqueCount="343">
  <si>
    <t xml:space="preserve">การประเมินระดับชั้นข้อมูล/ประเภทข้อมูล </t>
  </si>
  <si>
    <t>ส่วนที่ 2: การประเมินความเสี่ยงและผลกระทบของการเปิดเผยข้อมูลโดยไม่ได้รับอนุญาต</t>
  </si>
  <si>
    <t>จงเลือกระดับผลกระทบ</t>
  </si>
  <si>
    <t>การแสดงค่า</t>
  </si>
  <si>
    <t>การแสดงค่าความเสี่ยง</t>
  </si>
  <si>
    <t>การประเมินความเสี่ยง</t>
  </si>
  <si>
    <t>ระดับผลกระทบ</t>
  </si>
  <si>
    <r>
      <t xml:space="preserve">ค่าคะแนน
</t>
    </r>
    <r>
      <rPr>
        <b/>
        <sz val="10"/>
        <color rgb="FF000000"/>
        <rFont val="TH Sarabun New"/>
        <family val="2"/>
      </rPr>
      <t>(ผลกระทบที่จะเกิดขึ้น)</t>
    </r>
  </si>
  <si>
    <t>ระดับโอกาสที่จะเกิด</t>
  </si>
  <si>
    <r>
      <t xml:space="preserve">ค่าคะแนน
</t>
    </r>
    <r>
      <rPr>
        <b/>
        <sz val="10"/>
        <color rgb="FF000000"/>
        <rFont val="TH Sarabun New"/>
        <family val="2"/>
      </rPr>
      <t>(โอกาสที่จะเกิด)</t>
    </r>
  </si>
  <si>
    <r>
      <t xml:space="preserve">ระดับความเสี่ยง 
</t>
    </r>
    <r>
      <rPr>
        <sz val="10"/>
        <color rgb="FF000000"/>
        <rFont val="TH Sarabun New"/>
        <family val="2"/>
      </rPr>
      <t>(ผลกระทบ*โอกาสฯ)</t>
    </r>
  </si>
  <si>
    <t>อยุ่ในแผน</t>
  </si>
  <si>
    <t>ระดับชั้น</t>
  </si>
  <si>
    <t>แปลงเลข</t>
  </si>
  <si>
    <t>แผน+ชั้น =รัเบชั้นข้อมูล</t>
  </si>
  <si>
    <t>ภาพลักษณ์/ชื่อเสียง</t>
  </si>
  <si>
    <t>สูง (ประเทศ)</t>
  </si>
  <si>
    <t>สูงมาก (ขั้นต่ำเดือนละครั้ง)</t>
  </si>
  <si>
    <t>ผู้ใช้และการดำเนินงาน</t>
  </si>
  <si>
    <t>สูง (กลุ่มองค์กร)</t>
  </si>
  <si>
    <t>สูง (ปีละ 6-10 ครั้ง)</t>
  </si>
  <si>
    <t>การเงินและสินทรัพย์</t>
  </si>
  <si>
    <t>สูง (100 ล้านขึ้นไป)</t>
  </si>
  <si>
    <t>กฎหมายและระเบียบ</t>
  </si>
  <si>
    <t>สูง (ได้รับบทลงโทษทางกฎหมาย)</t>
  </si>
  <si>
    <t>บางครั้ง  (ไตรมาสละ 1  ครั้ง)</t>
  </si>
  <si>
    <r>
      <t xml:space="preserve">ผลประโยชน์แห่งชาติ </t>
    </r>
    <r>
      <rPr>
        <sz val="14"/>
        <color rgb="FF000000"/>
        <rFont val="TH Sarabun New"/>
        <family val="2"/>
      </rPr>
      <t>(ผลรวมฉลี่ยCIA)</t>
    </r>
  </si>
  <si>
    <t>น้อยครั้ง (ปีละไม่เกิน 2 ครั้ง)</t>
  </si>
  <si>
    <t>ผลรวมความเสี่ยงเฉลี่ย</t>
  </si>
  <si>
    <t>ส่วนที่ 3: ผลการประเมินระดับชั้นข้อมูล/ประเภทข้อมูล</t>
  </si>
  <si>
    <t>ระดับชั้นข้อมูล</t>
  </si>
  <si>
    <t>ประเภทข้อมูล</t>
  </si>
  <si>
    <t>ประเภทของบริการคลาวด์ที่แนะนำ</t>
  </si>
  <si>
    <t>ใช่</t>
  </si>
  <si>
    <t>ไม่</t>
  </si>
  <si>
    <t>เสนอ</t>
  </si>
  <si>
    <t>เปลี่ยนการแสดงผล แสดงแต่ตัวเอง</t>
  </si>
  <si>
    <t>ระดับความเสี่ยง</t>
  </si>
  <si>
    <t>ค่าระดับความเสี่ยง DCS</t>
  </si>
  <si>
    <t>ค่าระดับความเสี่ยง DGA</t>
  </si>
  <si>
    <t>ค่าระดับความเสี่ยงใหม่ 1</t>
  </si>
  <si>
    <t>ค่าระดับความเสี่ยงใหม่ 2</t>
  </si>
  <si>
    <t>แบบหาร 3</t>
  </si>
  <si>
    <t>ระดับความเสี่ยงใหม่ 2</t>
  </si>
  <si>
    <t>เปิดเผย</t>
  </si>
  <si>
    <t>ต่ำมาก</t>
  </si>
  <si>
    <t>1-2</t>
  </si>
  <si>
    <t>1-3</t>
  </si>
  <si>
    <t>1, 2</t>
  </si>
  <si>
    <t>3</t>
  </si>
  <si>
    <t xml:space="preserve">เผยแพร่ภายในองค์กร </t>
  </si>
  <si>
    <t>3-4</t>
  </si>
  <si>
    <t>3 -5</t>
  </si>
  <si>
    <t>3 -4</t>
  </si>
  <si>
    <t>4-6</t>
  </si>
  <si>
    <t>3,4</t>
  </si>
  <si>
    <t>2</t>
  </si>
  <si>
    <t>ลับ</t>
  </si>
  <si>
    <t>ปานกลาง</t>
  </si>
  <si>
    <t>5-6</t>
  </si>
  <si>
    <t>6 -8</t>
  </si>
  <si>
    <t>5 - 6</t>
  </si>
  <si>
    <t>7-9</t>
  </si>
  <si>
    <t>5,6</t>
  </si>
  <si>
    <t>1</t>
  </si>
  <si>
    <t>ลับมาก</t>
  </si>
  <si>
    <t>สูง</t>
  </si>
  <si>
    <t>5-9</t>
  </si>
  <si>
    <t>9-11</t>
  </si>
  <si>
    <t>7-11</t>
  </si>
  <si>
    <t>10-12</t>
  </si>
  <si>
    <t>8,9,10</t>
  </si>
  <si>
    <t>โดนแฮคทุกวัน</t>
  </si>
  <si>
    <t>ลับที่สุด</t>
  </si>
  <si>
    <t>สูงมาก</t>
  </si>
  <si>
    <t>10 - 15</t>
  </si>
  <si>
    <t>12 - 15</t>
  </si>
  <si>
    <t>13-15</t>
  </si>
  <si>
    <t>12,15</t>
  </si>
  <si>
    <t>ปีละครั้ง</t>
  </si>
  <si>
    <t>ปีละสองครั้ง</t>
  </si>
  <si>
    <t>ปีละ 3-5</t>
  </si>
  <si>
    <t>ปีละ 6-10</t>
  </si>
  <si>
    <t>เดือนละครั้ง</t>
  </si>
  <si>
    <t>ค่าความเสี่ยงของ DGA ในปัจจุบัน</t>
  </si>
  <si>
    <t>ค่าความเสี่ยงของ DCS</t>
  </si>
  <si>
    <t>ระดับความเสี่ยงใหม่ 1</t>
  </si>
  <si>
    <t>ระดับความเสี่ยงเก่า</t>
  </si>
  <si>
    <t>ผลกระทบ</t>
  </si>
  <si>
    <t>ระดับความเสี่ยงแบบหาร 3</t>
  </si>
  <si>
    <t xml:space="preserve">ผลกระทบต่อรัฐ ลับที่สุดเอาออกไปเลย </t>
  </si>
  <si>
    <t>ภาครัฐไม่ควรมีลับสุด ยกเว้นราชวงศ์ ไม่เอามาคิด risk based เพราะบางเรื่องเกิดครั้งเดียวประเทศล่มสลาย ไม่เหมาะกับตารางนี้</t>
  </si>
  <si>
    <t>ข้อมูลตามแผนต้องสูงทั้ง 5 ด้าน ใช้ impac based</t>
  </si>
  <si>
    <t>โอกาสที่จะเกิด</t>
  </si>
  <si>
    <t>ถ้า CIA ได้สูง ถ้าไม่อยู่ในแผน ก้อประเมินต่อ (C =3)</t>
  </si>
  <si>
    <t xml:space="preserve"> CIA ได้สูง ถ้าอยู่ในแผน แต่มีแค่ข้อมูลเดียวที่สำคัญ ต้องมี database แยก</t>
  </si>
  <si>
    <t>ให้อยู่ GDCC ก่อนแต่ขอยกเว้นได้</t>
  </si>
  <si>
    <t>ตัวอย่าง GDX ในกรณีที่หน่วยงานรัฐทุกหน่วยมาเชื่อมข้อมูลกัน</t>
  </si>
  <si>
    <t>ถ้าซื้อคลาวด์รวบดาตาเบส แล้วมีข้อมูลสูงสุดจะสื่อสารยังไง (การลงทุนไม่คุ้ม)</t>
  </si>
  <si>
    <t>เพิ่มการเขียนข้อยกเว้น</t>
  </si>
  <si>
    <t>ย้ายเลข 10 แต่โอกาสน้อยมาก ข้อมูลผลกระทบสูงฉอคทุกวัน</t>
  </si>
  <si>
    <t>8,9 คือข้อมูลใช้ภายในที่ถูกแฮคทุกวัน</t>
  </si>
  <si>
    <t>แก้เครื่องมือตามข้อความดังบน</t>
  </si>
  <si>
    <t>ยืนยันใช้ riskbased</t>
  </si>
  <si>
    <t>ข้อมูลลับที่สุดให้หัวหน้าหน่วยงานพิจารณาหน่วยงาน</t>
  </si>
  <si>
    <t>เครื่องมือการพิจารณาหมวดหมู่และระดับชั้นข้อมูล</t>
  </si>
  <si>
    <r>
      <t xml:space="preserve">คำชี้แจง (Disclaimer)
</t>
    </r>
    <r>
      <rPr>
        <sz val="14"/>
        <color theme="1"/>
        <rFont val="TH Sarabun New"/>
        <family val="2"/>
      </rPr>
      <t>เครื่องมือนี้</t>
    </r>
    <r>
      <rPr>
        <b/>
        <sz val="14"/>
        <color theme="1"/>
        <rFont val="TH Sarabun New"/>
        <family val="2"/>
      </rPr>
      <t>เป็นตัวอย่างการประยุกต์หลักเกณฑ์จาก (ร่าง) มาตรฐานรัฐบาลดิจิทัลว่าด้วยหลักเกณฑ์การจัดระดับชั้นข้อมูลภาครัฐ</t>
    </r>
    <r>
      <rPr>
        <sz val="14"/>
        <color theme="1"/>
        <rFont val="TH Sarabun New"/>
        <family val="2"/>
      </rPr>
      <t xml:space="preserve">ไปสู่การปฏิบัติจริง </t>
    </r>
    <r>
      <rPr>
        <b/>
        <i/>
        <u/>
        <sz val="14"/>
        <color theme="1"/>
        <rFont val="TH Sarabun New"/>
        <family val="2"/>
      </rPr>
      <t>โดยหน่วยงานสามารถใช้วิธีในรูปแบบอื่นๆ เพื่อจัดระดับชั้นหรือจำแนกประเภทข้อมูลได้</t>
    </r>
    <r>
      <rPr>
        <b/>
        <u/>
        <sz val="14"/>
        <color rgb="FF0000FF"/>
        <rFont val="TH Sarabun New"/>
        <family val="2"/>
      </rPr>
      <t xml:space="preserve"> 
</t>
    </r>
    <r>
      <rPr>
        <sz val="14"/>
        <rFont val="TH Sarabun New"/>
        <family val="2"/>
      </rPr>
      <t xml:space="preserve">ทั้งนี้ หน่วยงานควรมีการทบทวนหมวดหมู่และระดับชั้นข้อมูล ตามระยะเวลาและเทคโนโลยีที่เปลี่ยนแปลงไป </t>
    </r>
  </si>
  <si>
    <r>
      <rPr>
        <b/>
        <u/>
        <sz val="14"/>
        <color rgb="FF0000FF"/>
        <rFont val="TH Sarabun New"/>
        <family val="2"/>
      </rPr>
      <t>วัตถุประสงค์</t>
    </r>
    <r>
      <rPr>
        <sz val="14"/>
        <color theme="1"/>
        <rFont val="TH Sarabun New"/>
        <family val="2"/>
      </rPr>
      <t xml:space="preserve">
เพื่อเป็นเครื่องมือประกอบการพิจารณาระดับชั้นข้อมูล สำหรับเจ้าของข้อมูล (Data Owner) และฝ่ายเทคโนโลยีสารสนเทศ เพื่อคุ้มครองข้อมูลให้มีความปลอดภัย รวมทั้งสามารถใช้งานข้อมูลได้อย่างถูกต้องเหมาะสม และไม่ขัดต่อข้อกฎหมาย ตลอดจนการทำข้อมูลสารสนเทศให้มีความพร้อม เพื่อพิจารณาประเภทข้อมูลสำหรับการใช้บริการคลาวด์ภาครัฐ โดยไม่มุ่งเน้นการนำข้อมูลทั้งหมดขึ้นคลาวด์ แต่ต้องการให้มีการพิจารณาใช้คลาวด์ที่เหมาะสม
</t>
    </r>
    <r>
      <rPr>
        <i/>
        <sz val="14"/>
        <color theme="1"/>
        <rFont val="TH Sarabun New"/>
        <family val="2"/>
      </rPr>
      <t xml:space="preserve">ทั้งนี้ หน่วยงานของรัฐสามารถกำหนดเกณฑ์การพิจารณาระดับผลกระทบให้เหมาะสมกับบริบทขององค์กรได้ โดยแก้ไขรายละเอียดในที่ ตาราง Dropdown   </t>
    </r>
  </si>
  <si>
    <t>ประกอบด้วย:</t>
  </si>
  <si>
    <t>1) ชีท Assessment Tools เป็นหน้าเครื่องมือการพิจารณาหมวดหมู่ข้อมูลและจัดระดับชั้นข้อมูล โดยกรอกข้อมูล และดูผลประเมินในหน้านี้ได้</t>
  </si>
  <si>
    <t>2) ชีท Calculation Sheet เป็นการแสดงรายละเอียดการประเมิน ซึ่งคำตอบจะแสดงเหมือนในหน้า Assessment Tools</t>
  </si>
  <si>
    <t xml:space="preserve">3) ชีท Dropdown เป็นการแสดงรายละเอียดตัวเลือกในคำถามในเครื่องมือ และแนวทางการพิจารณาหมวดหมู่ข้อมูลและจัดระดับชั้นข้อมูล </t>
  </si>
  <si>
    <r>
      <rPr>
        <b/>
        <u/>
        <sz val="16"/>
        <rFont val="TH Sarabun New"/>
        <family val="2"/>
      </rPr>
      <t>ข้อแนะนำในการใช้เครื่องมือ:</t>
    </r>
    <r>
      <rPr>
        <sz val="16"/>
        <rFont val="TH Sarabun New"/>
        <family val="2"/>
      </rPr>
      <t xml:space="preserve">
1) แบบประเมินนี้แบ่งออกเป็น 3 ส่วน แบ่งออกเป็น ส่วนที่ 1: การพิจารณาหมวดหมู่ข้อมูล  ส่วนที่ 2: การประเมินวัตถุประสงค์ด้านความปลอดภัย (CIA) และส่วนที่ 3: การประเมินความเสี่ยงของการเปิดเผยข้อมูลโดยไม่ได้รับอนุญาต 
2) ท่านสามารถเลือกคำตอบจาก Drop Down  โดย คลิกที่ เชลล์ ที่อยู่ใต้ข้อความ "จงเลือกคำตอบ"  โดยขอให้เริ่มการทำแบบประเมินจากส่วนที่ 1 เท่านั้น 
</t>
    </r>
  </si>
  <si>
    <t>5) ข้อมูลควรมีการจัดหมวดหมู่และระดับชั้นข้อมูลตามกรอบธรรมาภิบาลข้อมูลภาครัฐ ดังนี้
 - หมวดหมู่ข้อมูลสาธารณะ สามารถจัดระดับชั้นข้อมูลได้ในระดับเปิดเผย
 - หมวดหมู่ข้อมูลใช้ภายใน หมวดหมู่ข้อมูลส่วนบุคคล สามารถจัดอยู่ได้ทุกระดับชั้นข้อมูล
 - หมวดหมู่ข้อมูลความลับทางราชการ สามารถจัดอยู่ในระดับชั้นลับเป็นต้นไป
 - หมวดหมู่ข้อมูลความมั่นคง สามารถจัดอยู่ในระดับชั้นลับที่สุด</t>
  </si>
  <si>
    <t xml:space="preserve">6) แบบประเมินนี้ สามารถประเมินได้ทีละ 1 ชุดข้อมูล/บริการเท่านั้น หากต้องการประเมินชุดข้อมูลอื่นๆ ควรดาวน์โหลดเครื่องมือเพื่อประเมินใหม่อีกครั้ง </t>
  </si>
  <si>
    <t>7) ท่านสามารถ ล้างข้อมูลที่ผ่านเลือก โดยไม่ลบการตั้งค่า ซึ่งทำได้โดยการเลือกเซลล์ Drop Down แล้วกด Delete บนคีย์บอร์ด</t>
  </si>
  <si>
    <t>8) หากเห็นคำว่า "จบการประเมิน" ไม่ว่าจะเป็นคำถามในส่วนไหน ท่านไม่จำเป็นทำแบบประเมินต่อ</t>
  </si>
  <si>
    <t>ชื่อชุดข้อมูล/บริการ:</t>
  </si>
  <si>
    <t>กรุณากรอกชื่อชุดข้อมูลหรือบริการของท่าน</t>
  </si>
  <si>
    <t>วัตถุประสงค์:</t>
  </si>
  <si>
    <t>กรุณากรอกวัตถุประสงค์ของการทำชุดข้อมูลหรือบริการของท่าน</t>
  </si>
  <si>
    <t>ส่วนที่ 1: การพิจารณาหมวดหมู่ข้อมูล</t>
  </si>
  <si>
    <t>ถ้าต้องการทบทวนให้เลือกเซลล์ C7 - C13 แล้วกด Delete บนคีย์บอร์ด
(จะล้างเฉพาะข้อมูล ไม่ลบการตั้งค่า)</t>
  </si>
  <si>
    <t>ข้อมูลเป็นข้อมูลลับที่สุดหรือไม่</t>
  </si>
  <si>
    <t>จงเลือกคำตอบ
จนกว่าจะเห็นคำว่า "จบคำถามในส่วนที่ 1"</t>
  </si>
  <si>
    <t>1)</t>
  </si>
  <si>
    <t>เป็นข้อมูลเกี่ยวกับพระมหากษัตริย์ ตาม มาตรา.14* ตาม พรบ.ข่าวสารฯหรือไม่ ?</t>
  </si>
  <si>
    <r>
      <rPr>
        <b/>
        <sz val="18"/>
        <color theme="0"/>
        <rFont val="TH Sarabun New"/>
        <family val="2"/>
      </rPr>
      <t xml:space="preserve">ส่วนที่ 2: การประเมินวัตถุประสงค์ด้านความปลอดภัย (CIA) </t>
    </r>
    <r>
      <rPr>
        <i/>
        <sz val="18"/>
        <color theme="0"/>
        <rFont val="TH Sarabun New"/>
        <family val="2"/>
      </rPr>
      <t xml:space="preserve">
</t>
    </r>
    <r>
      <rPr>
        <i/>
        <sz val="16"/>
        <color theme="0"/>
        <rFont val="TH Sarabun New"/>
        <family val="2"/>
      </rPr>
      <t xml:space="preserve">ในกรณีที่ต้องประเมินในส่วนที่ 3 ค่าคะแนนในส่วนนี้จะถูกนำไปคำนวณเป็นค่าผลประโยชน์แห่งชาติ (ผลรวมฉลี่ยCIA) </t>
    </r>
  </si>
  <si>
    <t>วัตถุประสงค์ด้านความปลอดภัย</t>
  </si>
  <si>
    <t>จงเลือกระดับผลกระทบ โดยคลิกที่เชลล์ด้านล่าง</t>
  </si>
  <si>
    <t xml:space="preserve">ด้านความลับ (Confidentiality) </t>
  </si>
  <si>
    <t>ด้านความถูกต้อง สมบูรณ์ (Integrity)</t>
  </si>
  <si>
    <t xml:space="preserve">ด้านความพร้อมใช้งาน (Availability) </t>
  </si>
  <si>
    <t>ผลรวมเฉลี่ย</t>
  </si>
  <si>
    <t xml:space="preserve">สรุปผลในส่วนที่ 2: </t>
  </si>
  <si>
    <t>ส่วนที่ 3: การประเมินความเสี่ยงและผลกระทบของการเปิดเผยข้อมูลโดยไม่ได้รับอนุญาต</t>
  </si>
  <si>
    <r>
      <t xml:space="preserve">จงเลือกระดับผลกระทบ โดยคลิกที่เชลล์ด้านล่าง
</t>
    </r>
    <r>
      <rPr>
        <i/>
        <sz val="16"/>
        <color rgb="FF000000"/>
        <rFont val="TH Sarabun New"/>
        <family val="2"/>
      </rPr>
      <t>ยกเว้นด้าน "ด้านความมั่นคงของรัฐ" ซึ่งเป็นค่าคะแนนจากส่วนที่ 2</t>
    </r>
  </si>
  <si>
    <t>จงเลือกโอกาสที่จะเกิดขึ้น 
โดยคลิกที่เชลล์ด้านล่าง</t>
  </si>
  <si>
    <t>ด้านการเงินและสินทรัพย์</t>
  </si>
  <si>
    <t>ด้านภาพลักษณ์/ชื่อเสียง</t>
  </si>
  <si>
    <t>ด้านผู้ใช้บริการหรือประชาชน</t>
  </si>
  <si>
    <t>ด้านการดำเนินงานตามกฎหมาย</t>
  </si>
  <si>
    <t>ด้านความมั่นคงของรัฐ (ผลรวมเฉลี่ยCIA)</t>
  </si>
  <si>
    <t>สรุปผลในส่วนที่ 3</t>
  </si>
  <si>
    <t>หมวดหมู่ข้อมูล</t>
  </si>
  <si>
    <t>ประเทศ</t>
  </si>
  <si>
    <t>AUS</t>
  </si>
  <si>
    <t>USA</t>
  </si>
  <si>
    <t>EU</t>
  </si>
  <si>
    <t>UK</t>
  </si>
  <si>
    <t>แหล่งที่มา</t>
  </si>
  <si>
    <t>https://www.dataplace.gov.au/search/</t>
  </si>
  <si>
    <t>https://catalog.data.gov/dataset/electric-vehicle-population-data</t>
  </si>
  <si>
    <t>https://data.europa.eu/data/datasets/65bd17fe9ec6ae3f87a53349/similarDatasets?locale=en</t>
  </si>
  <si>
    <t>การเทียบหมวดหมู่</t>
  </si>
  <si>
    <t>Security classification</t>
  </si>
  <si>
    <t>DCAT-US Schema</t>
  </si>
  <si>
    <t>Domain-Based</t>
  </si>
  <si>
    <t>Access rights</t>
  </si>
  <si>
    <t xml:space="preserve">รายละเอียดการตัวเลือก Drop Down </t>
  </si>
  <si>
    <t xml:space="preserve">หน้านี้เป็นการแสดงรายละเอียดของการตัวเลือก Drop Down ในส่วนที่ ส่วนที่ 2: การประเมินวัตถุประสงค์ด้านความปลอดภัย (CIA) และส่วนที่ 3: การประเมินความเสี่ยงของการเปิดเผยข้อมูลโดยไม่ได้รับอนุญาต เพื่อให้ท่านมีความเข้าใจในการตอบเครื่องมือมากขึ้น 
ทั้งนี้ หน่วยงานของรัฐสามารถกำหนดเกณฑ์การพิจารณาระดับผลกระทบให้เหมาะสมกับบริบทขององค์กรได้ โดยแก้ไขรายละเอียดในที่ ตาราง Dropdown   </t>
  </si>
  <si>
    <t>หากต้องการดูรายละเอียด Dropdown ในแบบประเมิน ส่วนที่ 2:</t>
  </si>
  <si>
    <t xml:space="preserve">หากต้องการดูรายละเอียด Dropdown ในแบบประเมิน ส่วนที่ 3: </t>
  </si>
  <si>
    <t xml:space="preserve">หากต้องการดูข้อสรุปแนวทางการจัดหมวดหมู่และระดับชั้นข้อมูล: </t>
  </si>
  <si>
    <t xml:space="preserve">ตาราง Dropdown ในส่วนที่ 2: การประเมินวัตถุประสงค์ด้านความปลอดภัย (CIA) </t>
  </si>
  <si>
    <t>ค่าผลกระทบ</t>
  </si>
  <si>
    <t>C</t>
  </si>
  <si>
    <t>I</t>
  </si>
  <si>
    <t>A</t>
  </si>
  <si>
    <t>CSP</t>
  </si>
  <si>
    <t>List</t>
  </si>
  <si>
    <t>ต่ำ (ผลกระทบจากการเปิดเผยข้อมูลน้อย/จำกัด)</t>
  </si>
  <si>
    <t>ต่ำ (แก้ไขได้ทันที)</t>
  </si>
  <si>
    <t>ต่ำ (ไม่ส่งผลกระทบต่องานหลัก)</t>
  </si>
  <si>
    <t>กลาง (ผลกระทบจากการเปิดเผยข้อมูลมาก/วงกว้าง)</t>
  </si>
  <si>
    <t>กลาง (แก้ไขได้ ต้องใช้ระยะเวลา/กู้คืนได้)</t>
  </si>
  <si>
    <t>กลาง (กระทบต่อการทำงานหลัก แต่แก้ไขได้)</t>
  </si>
  <si>
    <t>สูง (ผลกระทบจากการเปิดเผยข้อมูลมากที่สุด/ประเทศ)</t>
  </si>
  <si>
    <t>สูง (ไม่สามารถแก้ไขหรือกู้คืนได้/ข้อมูลหาย )</t>
  </si>
  <si>
    <t>สูง (กระทบต่อการทำงานหลัก ไม่สามารถทำงานได้)</t>
  </si>
  <si>
    <t xml:space="preserve">ตาราง Dropdown ส่วนที่ 3: การประเมินความเสี่ยงของการเปิดเผยข้อมูลโดยไม่ได้รับอนุญาต </t>
  </si>
  <si>
    <t>ในส่วนที่ 3 ค่าความเสี่ยงที่จะประเมินได้เกิดขึ้นจาก ผลกระทบ (Impact) * โอกาสจะเกิดขึ้นของข้อมูลจะถูกเปิดเผยข้อมูลโดยไม่ได้รับอนุญาต (Likelihood) รายละเอียด สรุปได้ 4 ข้อ ดังนี้</t>
  </si>
  <si>
    <t>1) การประเมินผลกระทบ (Impact)</t>
  </si>
  <si>
    <t>2) การประเมินโอกาสจะเกิดขึ้นของข้อมูลจะถูกเปิดเผยข้อมูลโดยไม่ได้รับอนุญาต (Likelihood)</t>
  </si>
  <si>
    <r>
      <t xml:space="preserve">ด้านความมั่นคงของรัฐ 
</t>
    </r>
    <r>
      <rPr>
        <sz val="11"/>
        <color rgb="FF000000"/>
        <rFont val="TH Sarabun New"/>
        <family val="2"/>
      </rPr>
      <t>(ผลรวมเฉลี่ย CIA จากส่วนที่ 2)</t>
    </r>
    <r>
      <rPr>
        <b/>
        <sz val="11"/>
        <color theme="1"/>
        <rFont val="TH SarabunPSK"/>
        <family val="2"/>
      </rPr>
      <t xml:space="preserve"> </t>
    </r>
    <r>
      <rPr>
        <b/>
        <sz val="12"/>
        <color theme="1"/>
        <rFont val="TH SarabunPSK"/>
        <family val="2"/>
      </rPr>
      <t xml:space="preserve">
</t>
    </r>
    <r>
      <rPr>
        <sz val="8"/>
        <color theme="1"/>
        <rFont val="TH Sarabun New"/>
        <family val="2"/>
      </rPr>
      <t>ไม่ต้องกรอกรายละเอียด</t>
    </r>
  </si>
  <si>
    <t>ค่าโอกาสที่จะเกิดขึ้น</t>
  </si>
  <si>
    <t>มูลค่าความเสียหายในระดับต่ำ</t>
  </si>
  <si>
    <t>ต่ำ (ระดับองค์กร)</t>
  </si>
  <si>
    <t>ต่ำ (ได้รับบทลงโทษตามกฎหมายปกครอง)</t>
  </si>
  <si>
    <t xml:space="preserve">ต่ำ (กระทบ CIA ระดับต่ำ) </t>
  </si>
  <si>
    <t>น้อยมาก (แทบจะไม่เกิด หรือปีละ 1 ครั้ง)</t>
  </si>
  <si>
    <t>มูลค่าความเสียหายในระดับกลาง</t>
  </si>
  <si>
    <t>กลาง (กลุ่มองค์กร)</t>
  </si>
  <si>
    <t xml:space="preserve">กลาง (ข้ามองค์กร) </t>
  </si>
  <si>
    <t>กลาง (ได้รับบทลงโทษตามกฎหมายปกครองและกฎหมายแพ่ง)</t>
  </si>
  <si>
    <t>กลาง  (กระทบ CIA ระดับกลาง)</t>
  </si>
  <si>
    <t xml:space="preserve">น้อยครั้ง (ปีละไม่เกิน 2 ครั้ง) </t>
  </si>
  <si>
    <t>มูลค่าความเสียหายในระดับสูง</t>
  </si>
  <si>
    <t>สูง (ได้รับบทลงโทษทางกฎหมายปกครองและกฎหมายแพ่ง และกฎหมายอาญา)</t>
  </si>
  <si>
    <t>สูง (กระทบ CIA ระดับสูง)</t>
  </si>
  <si>
    <t>3) ตารางผลการคำนวนความเสี่ยงในแต่ละด้าน ซึ่งผลกระทบทุกด้านต้องคำนวนร่วมกับ โอกาสที่จะเกิดขึ้นฯ</t>
  </si>
  <si>
    <t xml:space="preserve">4) ตารางผลเสี่ยงในภาพรวม จากการนำความเสี่ยงทั้ง 5 ด้านในข้อ 2) มาเฉลี่ยกัน </t>
  </si>
  <si>
    <t>ข้อสรุปแนวทางการจัดหมวดหมู่และระดับชั้นข้อมูล</t>
  </si>
  <si>
    <t xml:space="preserve">ข้อมูลควรมีการจัดหมวดหมู่และระดับชั้นข้อมูลตามกรอบธรรมาภิบาลข้อมูลภาครัฐ 
โดย
 - หมวดหมู่ข้อมูลสาธารณะ สามารถจัดระดับชั้นข้อมูลได้ในระดับเปิดเผย
 - หมวดหมู่ข้อมูลใช้ภายใน หมวดหมู่ข้อมูลส่วนบุคคล สามารถจัดอยู่ได้ทุกระดับชั้นข้อมูล
 - หมวดหมู่ข้อมูลความลับทางราชการ สามารถจัดอยู่ในระดับชั้นลับเป็นต้นไป
 - หมวดหมู่ข้อมูลความมั่นคง สามารถจัดอยู่ในระดับชั้นลับที่สุด </t>
  </si>
  <si>
    <t>เครื่องมือการพิจารณาหมวดหมู่ข้อมูลและจัดระดับชั้นข้อมูล</t>
  </si>
  <si>
    <t>หน้านี้เป็นการแสดงผลการประเมินระดับชั้นข้อมูล โดยนำข้อมูลที่ท่านกรอกมาจากชีทในหน้า Assessment Tools มาแสดงการคำนวณทั้ง 3 ส่วน รายละเอียดมีดังนี้</t>
  </si>
  <si>
    <t>หน้าการแสดงผลการคำนวนค่าแนน จากชีท  Assessment Tools ในส่วนที่ 1</t>
  </si>
  <si>
    <r>
      <t xml:space="preserve">เงื่อนไข:  
1) </t>
    </r>
    <r>
      <rPr>
        <b/>
        <u/>
        <sz val="11"/>
        <color theme="1"/>
        <rFont val="TH Sarabun New"/>
        <family val="2"/>
      </rPr>
      <t xml:space="preserve">ข้อมูลที่ไม่ต้องประเมินในส่วนที่ 2 และส่วนที่ 3 
</t>
    </r>
    <r>
      <rPr>
        <sz val="11"/>
        <color theme="1"/>
        <rFont val="TH Sarabun New"/>
        <family val="2"/>
      </rPr>
      <t>- ถ้า เป็นข้อมูลที่เกี่ยวข้อวกับพระมหากษัตริย์หรือราชวงค์ = ลับที่สุด 
 - ถ้าไม่ต้องขออนุญาตก่อนเผยแพร่ = ข้อมูลเปิด
2) ถ้าเป็นข้อมูลในหมวดหมู่อื่นๆ ต้องประเมินต่อ</t>
    </r>
  </si>
  <si>
    <t>ผลการเลือกจากส่วนที่ 1 
จากชีท Assessment Tools</t>
  </si>
  <si>
    <t>ผลการแสดงค่า</t>
  </si>
  <si>
    <t>คำถามเพิ่มเติม</t>
  </si>
  <si>
    <t>เป็นข้อมูลตาม พรบ.ข้อมูลข่าวสารฯ มาตรา 15 (1) ความมั่นคงของรัฐหรือไม่ ?</t>
  </si>
  <si>
    <t xml:space="preserve"> 2.1) เป็นข้อมูลที่สอดคล้องตามนโยบาย และแผนความมั่นคงแห่งชาติฯ* หรือไม่?</t>
  </si>
  <si>
    <t>ห้ามเปิดเผยตามมาตรา 15 ตาม พรบ.ข่าวสารฯ และมีการกำหนดชั้นความลับหรือไม่?</t>
  </si>
  <si>
    <t>เป็นข้อมูลส่วนบุคคลหรือไม่ ?</t>
  </si>
  <si>
    <t>ห้ามเปิดเผยตามมาตรา 15 ตาม พรบ.ข่าวสารฯ หรือไม่ ?</t>
  </si>
  <si>
    <t>ต้องได้รับอนุญาตก่อนเผยแพร่ หรือไม่</t>
  </si>
  <si>
    <t>หน้าการแสดงผลการคำนวนค่าแนน จากชีท  Assessment Tools ในส่วนที่ 2</t>
  </si>
  <si>
    <t xml:space="preserve">ส่วนที่ 2: การประเมินวัตถุประสงค์ด้านความปลอดภัย (CIA) </t>
  </si>
  <si>
    <t xml:space="preserve">เงื่อนไข:  
1) ผลรวมเฉลี่ยสูง (มีค่า= 3 ) +   สอดคล้องตามนโยบาย และแผนความมั่นคงแห่งชาติฯ =  ลับที่สุด 
2) ผลรวมเฉลี่ยสูง (มีค่า= 3 )  +   ไม่สอดคล้องตามนโยบาย และแผนความมั่นคงแห่งชาติฯ  = ต้องประเมินในส่วนที่ 3 ต่อ 
3) ผลรวมเฉลี่ยน้อยกว่า 3  = ต้องประเมินในส่วนที่ 3 ต่อ </t>
  </si>
  <si>
    <t>ค่าคะแนนผลกระทบ</t>
  </si>
  <si>
    <t>การคำนวน- ไม่แสดงผลในหน้ากรอกข้อมูล</t>
  </si>
  <si>
    <r>
      <t xml:space="preserve">เงื่อนไขที่ 1: </t>
    </r>
    <r>
      <rPr>
        <b/>
        <sz val="14"/>
        <rFont val="TH Sarabun New"/>
        <family val="2"/>
      </rPr>
      <t>ผลรวมเฉลี่ย (ข้อมูลจากผลรวมเฉลี่ย)</t>
    </r>
  </si>
  <si>
    <t xml:space="preserve">ข้อมูลที่สอดคล้องตามนโยบาย และแผนความมั่นคงแห่งชาติฯ* หรือไม่ </t>
  </si>
  <si>
    <t>สรุปผลในส่วนที่ 2</t>
  </si>
  <si>
    <t>หน้าการแสดงผลการคำนวนค่าแนน จากชีท Assessment Tools</t>
  </si>
  <si>
    <t xml:space="preserve">             ส่วนที่ 3: การประเมินความเสี่ยงและผลกระทบของการเปิดเผยข้อมูลโดยไม่ได้รับอนุญาต</t>
  </si>
  <si>
    <r>
      <t xml:space="preserve">เงื่อนไข : เสนอคณะกรรมการพิจารณาแผนฯ หรือไม่ เพื่อพิจารณาข้อมูลลับที่สุด
</t>
    </r>
    <r>
      <rPr>
        <sz val="14"/>
        <color rgb="FF000000"/>
        <rFont val="TH Sarabun New"/>
        <family val="2"/>
      </rPr>
      <t xml:space="preserve">- 10 และ เสนอคณะกรรมการพิจารณาแผนฯ =   ลับที่สุด 
-  10 และ ไม่เสนอคณะกรรมการพิจารณาแผนฯ =   ลับมาก  
 - 7-9 =  ลับมาก คิดคะแนนจากผลรวมความเสี่ยงเฉลี่ย
 - 5-6 =  ลับ คิดคะแนนจากผลรวมความเสี่ยงเฉลี่ย 
 - 3-4 =  เผยแพร่ภายในองค์กร คิดคะแนนจากผลรวมความเสี่ยงเฉลี่ย
 - 1-2 =เปิดเผย คิดคะแนนจากผลรวมความเสี่ยงเฉลี่ย 
 </t>
    </r>
  </si>
  <si>
    <t>ค่าที่เลือก</t>
  </si>
  <si>
    <r>
      <t xml:space="preserve">เงื่อนไขที่ 1 </t>
    </r>
    <r>
      <rPr>
        <b/>
        <sz val="14"/>
        <rFont val="TH Sarabun New"/>
        <family val="2"/>
      </rPr>
      <t>ผลรวมเฉลี่ย (ข้อมูลจากผลรวมเฉลี่ย)</t>
    </r>
  </si>
  <si>
    <r>
      <rPr>
        <b/>
        <u/>
        <sz val="14"/>
        <color theme="1"/>
        <rFont val="TH Sarabun New"/>
        <family val="2"/>
      </rPr>
      <t xml:space="preserve">เงื่อนไขที่ 2 </t>
    </r>
    <r>
      <rPr>
        <b/>
        <sz val="14"/>
        <color rgb="FFFF0000"/>
        <rFont val="TH Sarabun New"/>
        <family val="2"/>
      </rPr>
      <t>เสนอต่อคณะกรรมการความมั่นคงแห่งชาติฯ* หรือไม่</t>
    </r>
    <r>
      <rPr>
        <sz val="14"/>
        <rFont val="TH Sarabun New"/>
        <family val="2"/>
      </rPr>
      <t xml:space="preserve"> </t>
    </r>
  </si>
  <si>
    <t>ข้อมูลเป็นหมวดหมู่ความลับทางราชการหรือไม่ 
ถ้าใช่ตามเชลล์ C14 ให้เริ่มระดับชั้นข้อมูลที่ ลับ  เป็นต้นไป</t>
  </si>
  <si>
    <t>ส่วนที่ 1: การข้อมูลที่ห้ามเปิดเผยต่อสาธารณะหรือไม่</t>
  </si>
  <si>
    <t>อยู่ในแผนความมั่นคงแห่งชาติ</t>
  </si>
  <si>
    <t>เงื่อนไข
 -ข้อที่สำคัญเป็นข้อมูลลับที่สุดตอบ ใช่ = 5 , ไม่ =  1
 -ข้ออื่นๆ ตอบ ใช่ = 2 , ไม่ =  1</t>
  </si>
  <si>
    <t>ข้อมูลสาธารณะ</t>
  </si>
  <si>
    <t>ข้อมูลใช้ภายในองค์กร ต้องประเมินต่อ</t>
  </si>
  <si>
    <t>ข้อมูลมั่นคง</t>
  </si>
  <si>
    <t>ข้อมูลส่วนบุคคล ต้องประเมินต่อ</t>
  </si>
  <si>
    <t xml:space="preserve">ข้อมูลข่าวสารลับ </t>
  </si>
  <si>
    <t>จงเลือกคำตอบ</t>
  </si>
  <si>
    <t>แสดงค่า</t>
  </si>
  <si>
    <t>เป็นข้อมูลที่สอดคล้องตามนโยบาย และแผนความมั่นคงแห่งชาติฯ* หรือไม่ ?</t>
  </si>
  <si>
    <t>ห้ามเปิดเผยตาม พรบ.ข่าวสารฯ หรือไม่ ?</t>
  </si>
  <si>
    <t>จบการประเมิน</t>
  </si>
  <si>
    <t>เป็นตาม ม.15* ตาม พรบ. ข่าวสารฯหรือไม่ ?</t>
  </si>
  <si>
    <t>เป็นข้อมูลข่าวสารลับที่ได้ลงทะเบียนหรือไม่ ?</t>
  </si>
  <si>
    <t>"เป็นข่าวสารลับที่สุดตามระเบียบข่าวสารฯ หรือไม่ ?</t>
  </si>
  <si>
    <t>สรุปผลในส่วนที่ 1</t>
  </si>
  <si>
    <t>ข้อมูลเปิด</t>
  </si>
  <si>
    <t>ข้อมูลเผยแพร่ภายในองค์กร ต้องประเมินต่อ</t>
  </si>
  <si>
    <t>ข้อมูลข่าวสารลับ ต้องประเมินต่อ</t>
  </si>
  <si>
    <t>ข้อมูลลับที่สุด</t>
  </si>
  <si>
    <t>ไม่อยู่ในแผนความมั่นคงแห่งชาติ</t>
  </si>
  <si>
    <t>เงื่อนไข
 -ข้อที่สำคัญเป็นข้อมูลลับที่สุดตอบใช่ = 5 ไม่เท่ากับ 0
 -ข้ออื่นๆ ตอบใช่ = 2 ไม่เท่ากับ 1</t>
  </si>
  <si>
    <t>OPT:1</t>
  </si>
  <si>
    <t>OPT:2</t>
  </si>
  <si>
    <t>OPT:3</t>
  </si>
  <si>
    <t>OPT:4</t>
  </si>
  <si>
    <t>OPT:5</t>
  </si>
  <si>
    <t>ต้องได้รับอนุญาตก่อนเผยแพร่ หรือไม่ ?</t>
  </si>
  <si>
    <t>a</t>
  </si>
  <si>
    <t xml:space="preserve">เงื่อนไข:  
1) ผลรวมเฉลี่ยสูง (มีค่า= 3 ) +   สอดคล้องตามนโยบาย และแผนความมั่นคงแห่งชาติฯ (ใช่ = 5, ไม่ =0)=  ลับที่สุด 
2) ผลรวมเฉลี่ยปานกลาง ,ต่ำ (มีค่า &lt; 3)  +   สอดคล้องตามนโยบาย และแผนความมั่นคงแห่งชาติฯ (ใช่ = 5, ไม่ =0) = ต้องประเมินต่อ (เผยแพร่ภายในองค์กร)  )
3) ผลรวมเฉลี่ยปานกลาง ,ต่ำ (มีค่า &lt; 3)  +  แต่ไม่สอดคล้องตามนโยบาย และแผนความมั่นคงแห่งชาติฯ (ใช่ = 5, ไม่ =0) = ต้องประเมินต่อ (เผยแพร่ภายในองค์กร) </t>
  </si>
  <si>
    <t xml:space="preserve"> CIA สูงและอยู่ในแผนฯ  : ข้อมูลลับที่สุด/Highly Protected Data จบการประเมิน</t>
  </si>
  <si>
    <t>CIA กลางและอยู่ในแผนฯต้องประเมินความเสี่ยง  : ต้องประเมินส่วนที่ 3</t>
  </si>
  <si>
    <t>CIA ต่ำ และอยู่ในแผนฯต้องประเมินความเสี่ยง  : ต้องประเมินส่วนที่ 3</t>
  </si>
  <si>
    <t>2 เงื่อนไข 1. ผลรวมเฉลี่ย CIA ระดับสูง และ 2. แผนนโยบายฯ = ลับที่สุด ) ถ้าเข้า 1 เงื่อนไข = เผยแพร่ภายในองค์กร</t>
  </si>
  <si>
    <t>2+3 = 5 ให้ทำประเมินต่อ (ผลรวมเฉลี่ย CIA ระดับกลาง+ สอดคล้องกับแผนนโยบายฯ )</t>
  </si>
  <si>
    <t>1+3 = 4 ให้ทำประเมินต่อ (ผลรวมเฉลี่ย CIA ระดับต่ำ  + สอดคล้องกับแผนนโยบายฯ )</t>
  </si>
  <si>
    <t xml:space="preserve">ด้านความถูกต้อง สมบูรณ์  (Integrity) </t>
  </si>
  <si>
    <t>สูง (ข้อมูลหาย ไม่สามารถแก้ไขหรือกู้คืนได้)</t>
  </si>
  <si>
    <r>
      <rPr>
        <b/>
        <u/>
        <sz val="16"/>
        <color theme="1"/>
        <rFont val="TH Sarabun New"/>
        <family val="2"/>
      </rPr>
      <t>เงื่อนไขที่ 1</t>
    </r>
    <r>
      <rPr>
        <u/>
        <sz val="16"/>
        <color theme="1"/>
        <rFont val="TH Sarabun New"/>
        <family val="2"/>
      </rPr>
      <t xml:space="preserve"> </t>
    </r>
    <r>
      <rPr>
        <sz val="16"/>
        <color theme="1"/>
        <rFont val="TH Sarabun New"/>
        <family val="2"/>
      </rPr>
      <t xml:space="preserve">ผลรวมเฉลี่ย CIA </t>
    </r>
  </si>
  <si>
    <r>
      <t xml:space="preserve">เงื่อนไขที่ 2 </t>
    </r>
    <r>
      <rPr>
        <sz val="16"/>
        <rFont val="TH Sarabun New"/>
        <family val="2"/>
      </rPr>
      <t>ผลในส่วนที่ 1  สอดคล้องกับแผนฯ หรือไม่ ใช่ = 5, ไม่ =0</t>
    </r>
  </si>
  <si>
    <t xml:space="preserve"> CIA สูง แต่ไม่อยู่ในแผนฯ  : ต้องประเมินส่วนที่ 3</t>
  </si>
  <si>
    <t xml:space="preserve"> CIA กลาง แต่ไม่อยู่ในแผนฯ  : ต้องประเมินส่วนที่ 3</t>
  </si>
  <si>
    <t xml:space="preserve"> CIA ต่ำ แต่ไม่อยู่ในแผนฯ  : ต้องประเมินส่วนที่ 3</t>
  </si>
  <si>
    <t xml:space="preserve"> 2+0 = 2 ให้ทำประเมินต่อ (ผลรวมเฉลี่ย CIA ระดับกลาง แต่ไม่สอดคล้องแผนนโยบายฯ = ให้ทำประเมินต่อ ) </t>
  </si>
  <si>
    <t xml:space="preserve">ส่วนที่ 3: การประเมินความเสี่ยงและผลกระทบของการเปิดเผยข้อมูลโดยไม่ได้รับอนุญาต </t>
  </si>
  <si>
    <t xml:space="preserve">เงื่อนไข : สอดคล้องตามแผนฯ หรือไม่ ตาม Part1 ถ้าใช่ =5 . ไม่ =0 (คิดรวมแค้กรณีจะเป็นลับที่สุด เพื่อใช้  Sovereign Cloud)
- 10 และ 5 =   ลับที่สุด (ผลรวมความเสี่ยงเฉลี่ยสูงมาก + แผนนโยบายฯ  (เข้า 2 เงื่อนไข)
 -10+0 =  &gt;10 คือ ลับมาก (ผลรวมความเสี่ยงเฉลี่ยสูงมาก  ไม่เป็นตามแผนนโยบายฯ (เข้า 1 เงื่อนไข)
 - 7-9 =  ลับมาก คิดคะแนนจากผลรวมความเสี่ยงเฉลี่ย ไม่คิดคะแนนจากแผนนโยบายฯ
 - 5-6 =  ลับ คิดคะแนนจากผลรวมความเสี่ยงเฉลี่ย ไม่คิดคะแนนจากแผนนโยบายฯ
 - 3-4 =  เผยแพร่ภายในองค์กร คิดคะแนนจากผลรวมความเสี่ยงเฉลี่ย ไม่คิดคะแนนจากแผนนโยบายฯ
 - 1-2 =เปิดเผย คิดคะแนนจากผลรวมความเสี่ยงเฉลี่ย ไม่คิดคะแนนจากแผนนโยบายฯ
 </t>
  </si>
  <si>
    <t>เสี่ยงสูงมาก และอยู่ในแผนฯ: Highly Protected Data</t>
  </si>
  <si>
    <t>เสี่ยงสูงมาก แต่ไม่อยู่ในแผนฯ : Protected Data</t>
  </si>
  <si>
    <t>เสี่ยงสูง  : Protected Data</t>
  </si>
  <si>
    <t>เสี่ยงปานกลาง  : Protected Data</t>
  </si>
  <si>
    <t>เสี่ยงต่ำ และอยู่ในแผนฯ : Official Data</t>
  </si>
  <si>
    <t>เสี่ยงต่ำมาก และอยู่ในแผนฯ : Official Data</t>
  </si>
  <si>
    <t xml:space="preserve">2 เงื่อนไข 1. ผลรวมความเสี่ยงเฉลี่ยมีค่าสูงมาก &gt;=10  และ 2. แผนนโยบายฯ มีค่า 5 = ลับที่สุด </t>
  </si>
  <si>
    <t xml:space="preserve">เข้า 1 เงื่อนไข  เฉพาะ  ผลรวมความเสี่ยงเฉลี่ยมีค่าสูงมาก &gt;=10  แต่ไม่เข้าเงื่อนไขที่ 2 แผนนโยบายฯ มีค่า 0 = ลับมาก </t>
  </si>
  <si>
    <t>ผลรวมความเสี่ยงเฉลี่ยสูง 7-9 คะแนน = ข้อมูลลับมาก (ไม่นำคะแนนในแผนและนโยบายมาคิด)</t>
  </si>
  <si>
    <t>ผลรวมความเสี่ยงเฉลี่ยปานกลาง 5-6 คะแนน = ข้อมูลลับ (ไม่นำคะแนนในแผนและนโยบายมาคิด)</t>
  </si>
  <si>
    <t>ผลรวมความเสี่ยงเฉลี่ยต่ำ 3-4 คะแนน = ข้อมูลเผยแพร่ภายในองค์กร (ไม่นำคะแนนในแผนและนโยบายมาคิด)</t>
  </si>
  <si>
    <t>ผลรวมความเสี่ยงเฉลี่ยต่ำมาก 1-2 คะแนน = ข้อมูลเปิดเผย(ไม่นำคะแนนในแผนและนโยบายมาคิด)</t>
  </si>
  <si>
    <r>
      <t xml:space="preserve">ค่าคะแนน
</t>
    </r>
    <r>
      <rPr>
        <b/>
        <sz val="12"/>
        <color rgb="FF000000"/>
        <rFont val="TH Sarabun New"/>
        <family val="2"/>
      </rPr>
      <t>(ผลกระทบที่จะเกิดขึ้น)</t>
    </r>
  </si>
  <si>
    <r>
      <t xml:space="preserve">ค่าคะแนน
</t>
    </r>
    <r>
      <rPr>
        <b/>
        <sz val="12"/>
        <color rgb="FF000000"/>
        <rFont val="TH Sarabun New"/>
        <family val="2"/>
      </rPr>
      <t>(โอกาสที่จะเกิด)</t>
    </r>
  </si>
  <si>
    <r>
      <t xml:space="preserve">ระดับความเสี่ยง 
</t>
    </r>
    <r>
      <rPr>
        <sz val="12"/>
        <color rgb="FF000000"/>
        <rFont val="TH Sarabun New"/>
        <family val="2"/>
      </rPr>
      <t>(ผลกระทบ*โอกาสฯ)</t>
    </r>
  </si>
  <si>
    <t>ค่าคะแนน
(ผลกระทบที่จะเกิดขึ้น)</t>
  </si>
  <si>
    <t>ค่าคะแนน
(โอกาสที่จะเกิด)</t>
  </si>
  <si>
    <t>กลาง (5 ล้าน &lt;100 ล้าน)</t>
  </si>
  <si>
    <t>ต่ำ (ไม่เกิน 5 ล้าน )</t>
  </si>
  <si>
    <t>กลาง (อาจได้รับบทลงโทษตามกฎหมาย)</t>
  </si>
  <si>
    <t>ต่ำ (ได้รับบทลงโทษตามกฎองค์กร)</t>
  </si>
  <si>
    <r>
      <t xml:space="preserve"> เงื่อนไขที่ 1</t>
    </r>
    <r>
      <rPr>
        <b/>
        <sz val="16"/>
        <color rgb="FF000000"/>
        <rFont val="TH Sarabun New"/>
        <family val="2"/>
      </rPr>
      <t xml:space="preserve"> ผลรวมความเสี่ยงเฉลี่ย</t>
    </r>
  </si>
  <si>
    <t>การจำแนกประเภทข้อมูล</t>
  </si>
  <si>
    <t>ไม่อยู่ในแผนความั่นคงแห่งชาติ</t>
  </si>
  <si>
    <t>เสี่ยงสูง แต่ไม่อยู่ในแผนฯ : Protected Data</t>
  </si>
  <si>
    <t>เสี่ยงปานกลาง แต่ไม่อยู่ในแผนฯ : Protected Data</t>
  </si>
  <si>
    <t>เสี่ยงน้อย และอยู่ในแผนฯ : Protected Data</t>
  </si>
  <si>
    <t xml:space="preserve"> ส่วนที่ 1  สอดคล้องกับแผนฯ ในตอบใช่ = </t>
  </si>
  <si>
    <t xml:space="preserve"> ส่วนที่ 1  สอดคล้องกับแผนฯ ในตอบ ไม่ = </t>
  </si>
  <si>
    <t>7,8,9 +0 = 7-9 คะแนน คือ ลับมาก (ผลรวมความเสี่ยงเฉลี่ยสูง แต่ไม่สอดคล้องกับแผนนโยบายฯ = ข้อมูลลับมาก ได้คะแนน  7-9 คะแนน )</t>
  </si>
  <si>
    <t>5,6 +0 =5-6 คะแนน คือ ลับ (ผลรวมความเสี่ยงเฉลี่ยปานกลาง และสอดคล้องกับแผนนโยบายฯ = ข้อมูลลับ ได้คะแนน  5-6 คะแนน  )</t>
  </si>
  <si>
    <t>3,4+ 0 = 9-10 คะแนน คือ ลับ (ผลรวมความเสี่ยงเฉลี่ยต่ำ แต่ไม่สอดคล้องกับแผนนโยบายฯ = ข้อมูลลับ ได้คะแนน  3-4 คะแนน )</t>
  </si>
  <si>
    <t>1,2 +0= 1-2 คะแนน คือ เปิดเผย (ผลรวมความเสี่ยงเฉลี่ยต่ำมาก และสอดคล้องกับแผนนโยบายฯ = ข้อมูลเผยแพร่ภายในองค์กร ได้คะแนน  1-2 คะคะแนน )</t>
  </si>
  <si>
    <t>กลาง (ข้ามองค์กร)</t>
  </si>
  <si>
    <t>ผลรวมความเสี่ยงเฉลี่ย (K86+) + แผนนโยบายฯ (N78)</t>
  </si>
  <si>
    <t>ผลรวมความเสี่ยงเฉลี่ย (R86) + แผนนโยบายฯ (U78)</t>
  </si>
  <si>
    <t>ผลรวมความเสี่ยงเฉลี่ย (Y86) + แผนนโยบายฯ (AB78)</t>
  </si>
  <si>
    <t>ผลรวมความเสี่ยงเฉลี่ย (AF86) + แผนนโยบายฯ (AI78)</t>
  </si>
  <si>
    <t>ส่วนที่ 1</t>
  </si>
  <si>
    <t>ส่วนที่ 2</t>
  </si>
  <si>
    <t>ส่วนที่ 3</t>
  </si>
  <si>
    <t>หมวดหมู่</t>
  </si>
  <si>
    <t>A1</t>
  </si>
  <si>
    <t>A2</t>
  </si>
  <si>
    <t>A3</t>
  </si>
  <si>
    <t>A4</t>
  </si>
  <si>
    <t>A5</t>
  </si>
  <si>
    <t>A6</t>
  </si>
  <si>
    <t>A7</t>
  </si>
  <si>
    <t>A8</t>
  </si>
  <si>
    <t>B1</t>
  </si>
  <si>
    <t>B2</t>
  </si>
  <si>
    <t>B3</t>
  </si>
  <si>
    <t>C1</t>
  </si>
  <si>
    <t>D1</t>
  </si>
  <si>
    <t>C2</t>
  </si>
  <si>
    <t>C3</t>
  </si>
  <si>
    <t>C4</t>
  </si>
  <si>
    <t>C5</t>
  </si>
  <si>
    <t>ข้อมูลใช้ภายใน</t>
  </si>
  <si>
    <t>ต่ำ</t>
  </si>
  <si>
    <t>น้อย</t>
  </si>
  <si>
    <t>ข้อมูลส่วนบุคคล</t>
  </si>
  <si>
    <t>ข้อมูลข่าวสารลับ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</si>
</sst>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3">
    <font>
      <sz val="11"/>
      <color theme="1"/>
      <name val="Tahoma"/>
      <family val="2"/>
      <scheme val="minor"/>
    </font>
    <font>
      <u/>
      <sz val="11"/>
      <color theme="10"/>
      <name val="Tahoma"/>
      <family val="2"/>
      <scheme val="minor"/>
    </font>
    <font>
      <b/>
      <sz val="16"/>
      <color theme="1"/>
      <name val="TH Sarabun New"/>
      <family val="2"/>
    </font>
    <font>
      <b/>
      <sz val="16"/>
      <name val="TH Sarabun New"/>
      <family val="2"/>
    </font>
    <font>
      <sz val="16"/>
      <color theme="1"/>
      <name val="TH Sarabun New"/>
      <family val="2"/>
    </font>
    <font>
      <sz val="16"/>
      <name val="TH Sarabun New"/>
      <family val="2"/>
    </font>
    <font>
      <sz val="16"/>
      <color rgb="FFFF0000"/>
      <name val="TH Sarabun New"/>
      <family val="2"/>
    </font>
    <font>
      <b/>
      <sz val="14"/>
      <color theme="1"/>
      <name val="TH Sarabun New"/>
      <family val="2"/>
    </font>
    <font>
      <sz val="14"/>
      <color theme="1"/>
      <name val="TH Sarabun New"/>
      <family val="2"/>
    </font>
    <font>
      <sz val="14"/>
      <color rgb="FFFFFFFF"/>
      <name val="TH Sarabun New"/>
      <family val="2"/>
    </font>
    <font>
      <sz val="11"/>
      <color theme="1"/>
      <name val="TH Sarabun New"/>
      <family val="2"/>
    </font>
    <font>
      <sz val="14"/>
      <color rgb="FF2F2F2F"/>
      <name val="TH Sarabun New"/>
      <family val="2"/>
    </font>
    <font>
      <u/>
      <sz val="11"/>
      <color theme="1"/>
      <name val="TH Sarabun New"/>
      <family val="2"/>
    </font>
    <font>
      <sz val="11"/>
      <color rgb="FFFF0000"/>
      <name val="TH Sarabun New"/>
      <family val="2"/>
    </font>
    <font>
      <sz val="11"/>
      <name val="TH Sarabun New"/>
      <family val="2"/>
    </font>
    <font>
      <sz val="12"/>
      <color rgb="FF2F2F2F"/>
      <name val="TH Sarabun New"/>
      <family val="2"/>
    </font>
    <font>
      <sz val="11"/>
      <color theme="0"/>
      <name val="TH Sarabun New"/>
      <family val="2"/>
    </font>
    <font>
      <b/>
      <sz val="12"/>
      <color rgb="FFFF0000"/>
      <name val="TH Sarabun New"/>
      <family val="2"/>
    </font>
    <font>
      <sz val="11"/>
      <color rgb="FFC00000"/>
      <name val="TH Sarabun New"/>
      <family val="2"/>
    </font>
    <font>
      <b/>
      <sz val="12"/>
      <color theme="1"/>
      <name val="TH Sarabun New"/>
      <family val="2"/>
    </font>
    <font>
      <b/>
      <sz val="11"/>
      <color rgb="FFC00000"/>
      <name val="TH Sarabun New"/>
      <family val="2"/>
    </font>
    <font>
      <b/>
      <sz val="18"/>
      <color rgb="FF000000"/>
      <name val="TH Sarabun New"/>
      <family val="2"/>
    </font>
    <font>
      <b/>
      <sz val="16"/>
      <color rgb="FF000000"/>
      <name val="TH Sarabun New"/>
      <family val="2"/>
    </font>
    <font>
      <sz val="12"/>
      <color rgb="FF000000"/>
      <name val="TH Sarabun New"/>
      <family val="2"/>
    </font>
    <font>
      <b/>
      <sz val="14"/>
      <color rgb="FF000000"/>
      <name val="TH Sarabun New"/>
      <family val="2"/>
    </font>
    <font>
      <sz val="14"/>
      <color rgb="FF000000"/>
      <name val="TH Sarabun New"/>
      <family val="2"/>
    </font>
    <font>
      <sz val="12"/>
      <color theme="1"/>
      <name val="TH Sarabun New"/>
      <family val="2"/>
    </font>
    <font>
      <b/>
      <u/>
      <sz val="14"/>
      <color rgb="FF000000"/>
      <name val="TH Sarabun New"/>
      <family val="2"/>
    </font>
    <font>
      <u val="double"/>
      <sz val="16"/>
      <color theme="1"/>
      <name val="TH Sarabun New"/>
      <family val="2"/>
    </font>
    <font>
      <sz val="10"/>
      <color rgb="FF000000"/>
      <name val="TH Sarabun New"/>
      <family val="2"/>
    </font>
    <font>
      <u val="double"/>
      <sz val="14"/>
      <color theme="1"/>
      <name val="TH Sarabun New"/>
      <family val="2"/>
    </font>
    <font>
      <u/>
      <sz val="16"/>
      <color theme="1"/>
      <name val="TH Sarabun New"/>
      <family val="2"/>
    </font>
    <font>
      <b/>
      <sz val="11"/>
      <color theme="1"/>
      <name val="TH Sarabun New"/>
      <family val="2"/>
    </font>
    <font>
      <b/>
      <u val="double"/>
      <sz val="20"/>
      <color rgb="FF000000"/>
      <name val="TH Sarabun New"/>
      <family val="2"/>
    </font>
    <font>
      <sz val="11"/>
      <color rgb="FF000000"/>
      <name val="TH Sarabun New"/>
      <family val="2"/>
    </font>
    <font>
      <b/>
      <sz val="12"/>
      <color theme="0"/>
      <name val="TH Sarabun New"/>
      <family val="2"/>
    </font>
    <font>
      <b/>
      <u val="double"/>
      <sz val="16"/>
      <color theme="0"/>
      <name val="TH Sarabun New"/>
      <family val="2"/>
    </font>
    <font>
      <b/>
      <sz val="10"/>
      <color rgb="FF000000"/>
      <name val="TH Sarabun New"/>
      <family val="2"/>
    </font>
    <font>
      <b/>
      <sz val="16"/>
      <color theme="0"/>
      <name val="TH Sarabun New"/>
      <family val="2"/>
    </font>
    <font>
      <b/>
      <sz val="12"/>
      <color theme="1"/>
      <name val="TH SarabunPSK"/>
      <family val="2"/>
    </font>
    <font>
      <sz val="16"/>
      <color rgb="FF000000"/>
      <name val="TH Sarabun New"/>
      <family val="2"/>
    </font>
    <font>
      <b/>
      <sz val="18"/>
      <color theme="0"/>
      <name val="TH Sarabun New"/>
      <family val="2"/>
    </font>
    <font>
      <i/>
      <sz val="12"/>
      <color rgb="FF000000"/>
      <name val="TH Sarabun New"/>
      <family val="2"/>
    </font>
    <font>
      <b/>
      <u/>
      <sz val="16"/>
      <color theme="0"/>
      <name val="TH Sarabun New"/>
      <family val="2"/>
    </font>
    <font>
      <b/>
      <u/>
      <sz val="16"/>
      <color rgb="FF000000"/>
      <name val="TH Sarabun New"/>
      <family val="2"/>
    </font>
    <font>
      <sz val="11"/>
      <color rgb="FFFF0000"/>
      <name val="Tahoma"/>
      <family val="2"/>
      <scheme val="minor"/>
    </font>
    <font>
      <sz val="11"/>
      <color theme="0"/>
      <name val="Tahoma"/>
      <family val="2"/>
      <scheme val="minor"/>
    </font>
    <font>
      <sz val="11"/>
      <name val="Tahoma"/>
      <family val="2"/>
      <scheme val="minor"/>
    </font>
    <font>
      <sz val="16"/>
      <color theme="0"/>
      <name val="TH Sarabun New"/>
      <family val="2"/>
    </font>
    <font>
      <i/>
      <sz val="14"/>
      <color theme="1"/>
      <name val="TH Sarabun New"/>
      <family val="2"/>
    </font>
    <font>
      <i/>
      <sz val="12"/>
      <color theme="1"/>
      <name val="TH Sarabun New"/>
      <family val="2"/>
    </font>
    <font>
      <b/>
      <u/>
      <sz val="14"/>
      <name val="TH Sarabun New"/>
      <family val="2"/>
    </font>
    <font>
      <b/>
      <sz val="18"/>
      <name val="TH Sarabun New"/>
      <family val="2"/>
    </font>
    <font>
      <sz val="14"/>
      <name val="TH Sarabun New"/>
      <family val="2"/>
    </font>
    <font>
      <sz val="14"/>
      <color theme="0"/>
      <name val="TH Sarabun New"/>
      <family val="2"/>
    </font>
    <font>
      <b/>
      <sz val="18"/>
      <color theme="1"/>
      <name val="TH Sarabun New"/>
      <family val="2"/>
    </font>
    <font>
      <i/>
      <sz val="16"/>
      <color theme="1"/>
      <name val="TH Sarabun New"/>
      <family val="2"/>
    </font>
    <font>
      <b/>
      <sz val="11"/>
      <color theme="0"/>
      <name val="Tahoma"/>
      <family val="2"/>
      <scheme val="minor"/>
    </font>
    <font>
      <b/>
      <sz val="11"/>
      <color theme="1"/>
      <name val="Tahoma"/>
      <family val="2"/>
      <scheme val="minor"/>
    </font>
    <font>
      <b/>
      <sz val="18"/>
      <color rgb="FFFF0000"/>
      <name val="TH Sarabun New"/>
      <family val="2"/>
    </font>
    <font>
      <sz val="10"/>
      <color theme="1"/>
      <name val="TH Sarabun New"/>
      <family val="2"/>
    </font>
    <font>
      <b/>
      <sz val="14"/>
      <color theme="0"/>
      <name val="TH Sarabun New"/>
      <family val="2"/>
    </font>
    <font>
      <b/>
      <sz val="12"/>
      <color rgb="FF000000"/>
      <name val="TH Sarabun New"/>
      <family val="2"/>
    </font>
    <font>
      <b/>
      <sz val="11"/>
      <color rgb="FF000000"/>
      <name val="TH Sarabun New"/>
      <family val="2"/>
    </font>
    <font>
      <sz val="12"/>
      <color rgb="FFFF0000"/>
      <name val="TH Sarabun New"/>
      <family val="2"/>
    </font>
    <font>
      <u/>
      <sz val="14"/>
      <color rgb="FFFF0000"/>
      <name val="TH Sarabun New"/>
      <family val="2"/>
    </font>
    <font>
      <sz val="10"/>
      <color theme="0"/>
      <name val="TH Sarabun New"/>
      <family val="2"/>
    </font>
    <font>
      <b/>
      <u/>
      <sz val="16"/>
      <color rgb="FFFF0000"/>
      <name val="TH Sarabun New"/>
      <family val="2"/>
    </font>
    <font>
      <b/>
      <sz val="18"/>
      <color rgb="FFC00000"/>
      <name val="TH Sarabun New"/>
      <family val="2"/>
    </font>
    <font>
      <sz val="9"/>
      <color rgb="FFFF0000"/>
      <name val="Tahoma"/>
      <family val="2"/>
      <scheme val="minor"/>
    </font>
    <font>
      <sz val="16"/>
      <color theme="1"/>
      <name val="Tahoma"/>
      <family val="2"/>
      <scheme val="minor"/>
    </font>
    <font>
      <b/>
      <sz val="14"/>
      <name val="TH Sarabun New"/>
      <family val="2"/>
    </font>
    <font>
      <b/>
      <sz val="14"/>
      <color theme="1"/>
      <name val="Tahoma"/>
      <family val="2"/>
      <scheme val="minor"/>
    </font>
    <font>
      <b/>
      <u/>
      <sz val="16"/>
      <name val="TH Sarabun New"/>
      <family val="2"/>
    </font>
    <font>
      <b/>
      <sz val="10"/>
      <color theme="1"/>
      <name val="TH Sarabun New"/>
      <family val="2"/>
    </font>
    <font>
      <u/>
      <sz val="16"/>
      <color rgb="FF000000"/>
      <name val="TH Sarabun New"/>
      <family val="2"/>
    </font>
    <font>
      <b/>
      <u/>
      <sz val="14"/>
      <color theme="1"/>
      <name val="TH Sarabun New"/>
      <family val="2"/>
    </font>
    <font>
      <sz val="14"/>
      <color rgb="FFFF0000"/>
      <name val="TH Sarabun New"/>
      <family val="2"/>
    </font>
    <font>
      <sz val="12"/>
      <color theme="0"/>
      <name val="TH Sarabun New"/>
      <family val="2"/>
    </font>
    <font>
      <b/>
      <sz val="14"/>
      <color rgb="FFFF0000"/>
      <name val="TH Sarabun New"/>
      <family val="2"/>
    </font>
    <font>
      <b/>
      <i/>
      <sz val="14"/>
      <color theme="0"/>
      <name val="TH Sarabun New"/>
      <family val="2"/>
    </font>
    <font>
      <i/>
      <sz val="11"/>
      <color theme="1"/>
      <name val="Tahoma"/>
      <family val="2"/>
      <scheme val="minor"/>
    </font>
    <font>
      <b/>
      <u/>
      <sz val="11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rgb="FFFF0000"/>
      <name val="Tahoma"/>
      <family val="2"/>
      <scheme val="minor"/>
    </font>
    <font>
      <i/>
      <sz val="14"/>
      <color rgb="FFFF0000"/>
      <name val="TH Sarabun New"/>
      <family val="2"/>
    </font>
    <font>
      <i/>
      <sz val="14"/>
      <color rgb="FF000000"/>
      <name val="TH Sarabun New"/>
      <family val="2"/>
    </font>
    <font>
      <b/>
      <u/>
      <sz val="18"/>
      <name val="TH Sarabun New"/>
      <family val="2"/>
    </font>
    <font>
      <b/>
      <sz val="16"/>
      <color rgb="FF00B050"/>
      <name val="TH Sarabun New"/>
      <family val="2"/>
    </font>
    <font>
      <u/>
      <sz val="16"/>
      <color rgb="FFFF0000"/>
      <name val="TH Sarabun New"/>
      <family val="2"/>
    </font>
    <font>
      <u val="double"/>
      <sz val="14"/>
      <color rgb="FFFF0000"/>
      <name val="TH Sarabun New"/>
      <family val="2"/>
    </font>
    <font>
      <sz val="14"/>
      <color theme="1"/>
      <name val="Tahoma"/>
      <family val="2"/>
      <scheme val="minor"/>
    </font>
    <font>
      <sz val="8"/>
      <name val="Tahoma"/>
      <family val="2"/>
      <scheme val="minor"/>
    </font>
    <font>
      <b/>
      <sz val="20"/>
      <color theme="0"/>
      <name val="TH Sarabun New"/>
      <family val="2"/>
    </font>
    <font>
      <sz val="18"/>
      <name val="TH Sarabun New"/>
      <family val="2"/>
    </font>
    <font>
      <i/>
      <sz val="20"/>
      <name val="TH Sarabun New"/>
      <family val="2"/>
    </font>
    <font>
      <i/>
      <sz val="18"/>
      <color theme="1"/>
      <name val="TH Sarabun New"/>
      <family val="2"/>
    </font>
    <font>
      <sz val="18"/>
      <color theme="1"/>
      <name val="TH Sarabun New"/>
      <family val="2"/>
    </font>
    <font>
      <sz val="18"/>
      <color theme="0"/>
      <name val="TH Sarabun New"/>
      <family val="2"/>
    </font>
    <font>
      <sz val="20"/>
      <name val="TH Sarabun New"/>
      <family val="2"/>
    </font>
    <font>
      <i/>
      <sz val="16"/>
      <name val="TH Sarabun New"/>
      <family val="2"/>
    </font>
    <font>
      <u/>
      <sz val="16"/>
      <name val="TH Sarabun New"/>
      <family val="2"/>
    </font>
    <font>
      <i/>
      <sz val="16"/>
      <color theme="0"/>
      <name val="TH Sarabun New"/>
      <family val="2"/>
    </font>
    <font>
      <u/>
      <sz val="14"/>
      <color theme="1"/>
      <name val="TH Sarabun New"/>
      <family val="2"/>
    </font>
    <font>
      <i/>
      <sz val="18"/>
      <color theme="0"/>
      <name val="TH Sarabun New"/>
      <family val="2"/>
    </font>
    <font>
      <i/>
      <sz val="20"/>
      <color theme="1"/>
      <name val="TH Sarabun New"/>
      <family val="2"/>
    </font>
    <font>
      <i/>
      <sz val="14"/>
      <color theme="0" tint="-0.499984740745262"/>
      <name val="TH Sarabun New"/>
      <family val="2"/>
    </font>
    <font>
      <i/>
      <sz val="22"/>
      <color theme="0"/>
      <name val="TH Sarabun New"/>
      <family val="2"/>
    </font>
    <font>
      <b/>
      <i/>
      <sz val="18"/>
      <color theme="1"/>
      <name val="TH Sarabun New"/>
      <family val="2"/>
    </font>
    <font>
      <i/>
      <sz val="14"/>
      <name val="TH Sarabun New"/>
      <family val="2"/>
    </font>
    <font>
      <i/>
      <sz val="22"/>
      <color theme="1"/>
      <name val="TH Sarabun New"/>
      <family val="2"/>
    </font>
    <font>
      <i/>
      <sz val="16"/>
      <color rgb="FF000000"/>
      <name val="TH Sarabun New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8"/>
      <color theme="1"/>
      <name val="TH Sarabun New"/>
      <family val="2"/>
    </font>
    <font>
      <b/>
      <u/>
      <sz val="16"/>
      <color theme="3"/>
      <name val="TH Sarabun New"/>
      <family val="2"/>
    </font>
    <font>
      <sz val="11"/>
      <color theme="3"/>
      <name val="Tahoma"/>
      <family val="2"/>
      <scheme val="minor"/>
    </font>
    <font>
      <i/>
      <sz val="16"/>
      <color theme="3"/>
      <name val="TH Sarabun New"/>
      <family val="2"/>
    </font>
    <font>
      <b/>
      <u/>
      <sz val="14"/>
      <color rgb="FF0000FF"/>
      <name val="TH Sarabun New"/>
      <family val="2"/>
    </font>
    <font>
      <b/>
      <i/>
      <u/>
      <sz val="14"/>
      <color theme="1"/>
      <name val="TH Sarabun New"/>
      <family val="2"/>
    </font>
    <font>
      <sz val="11"/>
      <color theme="2" tint="-9.9978637043366805E-2"/>
      <name val="Tahoma"/>
      <family val="2"/>
      <scheme val="minor"/>
    </font>
    <font>
      <b/>
      <sz val="12"/>
      <color theme="2" tint="-9.9978637043366805E-2"/>
      <name val="TH SarabunPSK"/>
      <family val="2"/>
    </font>
    <font>
      <b/>
      <sz val="16"/>
      <color theme="1"/>
      <name val="TH SarabunPSK"/>
      <family val="2"/>
    </font>
  </fonts>
  <fills count="51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rgb="FFCAEDFB"/>
      </patternFill>
    </fill>
    <fill>
      <patternFill patternType="solid">
        <fgColor theme="4" tint="0.79998168889431442"/>
        <bgColor rgb="FFCAEDFB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rgb="FFCAEDFB"/>
      </patternFill>
    </fill>
    <fill>
      <patternFill patternType="solid">
        <fgColor theme="0"/>
        <bgColor rgb="FFF2CEEF"/>
      </patternFill>
    </fill>
    <fill>
      <patternFill patternType="solid">
        <fgColor theme="5" tint="0.79998168889431442"/>
        <bgColor rgb="FFCAEDFB"/>
      </patternFill>
    </fill>
    <fill>
      <patternFill patternType="solid">
        <fgColor theme="0" tint="-0.499984740745262"/>
        <bgColor rgb="FFF2CEE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rgb="FFCAEDFB"/>
      </patternFill>
    </fill>
    <fill>
      <patternFill patternType="solid">
        <fgColor theme="7" tint="0.79998168889431442"/>
        <bgColor rgb="FFCAEDFB"/>
      </patternFill>
    </fill>
    <fill>
      <patternFill patternType="solid">
        <fgColor rgb="FF003399"/>
        <bgColor rgb="FFCAEDFB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89999084444715716"/>
        <bgColor rgb="FFCAEDFB"/>
      </patternFill>
    </fill>
    <fill>
      <patternFill patternType="solid">
        <fgColor rgb="FFFFCC6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CAEDFB"/>
      </patternFill>
    </fill>
    <fill>
      <patternFill patternType="solid">
        <fgColor rgb="FFFFFF00"/>
        <bgColor rgb="FFCAEDFB"/>
      </patternFill>
    </fill>
    <fill>
      <patternFill patternType="solid">
        <fgColor theme="8" tint="0.79998168889431442"/>
        <bgColor rgb="FFCAEDFB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rgb="FFCAEDFB"/>
      </patternFill>
    </fill>
    <fill>
      <patternFill patternType="solid">
        <fgColor rgb="FFEFA48D"/>
        <bgColor rgb="FFCAEDFB"/>
      </patternFill>
    </fill>
    <fill>
      <patternFill patternType="solid">
        <fgColor rgb="FFFFC000"/>
        <bgColor rgb="FFCAEDFB"/>
      </patternFill>
    </fill>
    <fill>
      <patternFill patternType="solid">
        <fgColor theme="0" tint="-0.249977111117893"/>
        <bgColor rgb="FFCAEDFB"/>
      </patternFill>
    </fill>
    <fill>
      <patternFill patternType="solid">
        <fgColor rgb="FF0033CC"/>
        <bgColor indexed="64"/>
      </patternFill>
    </fill>
    <fill>
      <patternFill patternType="solid">
        <fgColor rgb="FF0033CC"/>
        <bgColor rgb="FFCAEDFB"/>
      </patternFill>
    </fill>
    <fill>
      <patternFill patternType="solid">
        <fgColor rgb="FFFDCFCF"/>
        <bgColor rgb="FFCAEDFB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rgb="FFCAEDFB"/>
      </patternFill>
    </fill>
    <fill>
      <patternFill patternType="solid">
        <fgColor rgb="FFF6FB3B"/>
        <bgColor indexed="64"/>
      </patternFill>
    </fill>
    <fill>
      <patternFill patternType="solid">
        <fgColor theme="0" tint="-0.14999847407452621"/>
        <bgColor rgb="FFCAEDFB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00FF"/>
        <bgColor rgb="FFCAEDFB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68">
    <xf numFmtId="0" fontId="0" fillId="0" borderId="0" xfId="0"/>
    <xf numFmtId="0" fontId="7" fillId="2" borderId="2" xfId="0" applyFont="1" applyFill="1" applyBorder="1"/>
    <xf numFmtId="0" fontId="0" fillId="0" borderId="1" xfId="0" applyBorder="1"/>
    <xf numFmtId="0" fontId="8" fillId="0" borderId="1" xfId="0" applyFont="1" applyBorder="1"/>
    <xf numFmtId="0" fontId="7" fillId="2" borderId="2" xfId="0" applyFont="1" applyFill="1" applyBorder="1" applyAlignment="1">
      <alignment vertical="top"/>
    </xf>
    <xf numFmtId="0" fontId="8" fillId="0" borderId="1" xfId="0" applyFont="1" applyBorder="1" applyAlignment="1">
      <alignment vertical="top"/>
    </xf>
    <xf numFmtId="0" fontId="1" fillId="0" borderId="1" xfId="1" applyBorder="1" applyAlignment="1">
      <alignment vertical="top"/>
    </xf>
    <xf numFmtId="0" fontId="1" fillId="0" borderId="1" xfId="1" applyBorder="1" applyAlignment="1">
      <alignment vertical="top" wrapText="1"/>
    </xf>
    <xf numFmtId="0" fontId="10" fillId="3" borderId="1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12" fillId="6" borderId="1" xfId="0" applyFont="1" applyFill="1" applyBorder="1" applyAlignment="1">
      <alignment horizontal="center"/>
    </xf>
    <xf numFmtId="0" fontId="9" fillId="9" borderId="1" xfId="0" applyFont="1" applyFill="1" applyBorder="1" applyAlignment="1">
      <alignment horizontal="center" vertical="center" wrapText="1" readingOrder="1"/>
    </xf>
    <xf numFmtId="49" fontId="10" fillId="12" borderId="1" xfId="0" applyNumberFormat="1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 vertical="center" wrapText="1" readingOrder="1"/>
    </xf>
    <xf numFmtId="0" fontId="9" fillId="7" borderId="1" xfId="0" applyFont="1" applyFill="1" applyBorder="1" applyAlignment="1">
      <alignment horizontal="center" vertical="center" wrapText="1" readingOrder="1"/>
    </xf>
    <xf numFmtId="0" fontId="9" fillId="10" borderId="1" xfId="0" applyFont="1" applyFill="1" applyBorder="1" applyAlignment="1">
      <alignment horizontal="center" vertical="center" wrapText="1" readingOrder="1"/>
    </xf>
    <xf numFmtId="0" fontId="9" fillId="11" borderId="1" xfId="0" applyFont="1" applyFill="1" applyBorder="1" applyAlignment="1">
      <alignment horizontal="center" vertical="center" wrapText="1" readingOrder="1"/>
    </xf>
    <xf numFmtId="0" fontId="10" fillId="6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49" fontId="13" fillId="12" borderId="1" xfId="0" applyNumberFormat="1" applyFont="1" applyFill="1" applyBorder="1" applyAlignment="1">
      <alignment horizontal="center"/>
    </xf>
    <xf numFmtId="49" fontId="14" fillId="12" borderId="1" xfId="0" applyNumberFormat="1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 vertical="center" wrapText="1" readingOrder="1"/>
    </xf>
    <xf numFmtId="0" fontId="13" fillId="6" borderId="1" xfId="0" applyFont="1" applyFill="1" applyBorder="1" applyAlignment="1">
      <alignment horizontal="center"/>
    </xf>
    <xf numFmtId="0" fontId="13" fillId="8" borderId="1" xfId="0" applyFont="1" applyFill="1" applyBorder="1" applyAlignment="1">
      <alignment horizontal="center"/>
    </xf>
    <xf numFmtId="49" fontId="16" fillId="13" borderId="1" xfId="0" applyNumberFormat="1" applyFont="1" applyFill="1" applyBorder="1" applyAlignment="1">
      <alignment horizontal="center"/>
    </xf>
    <xf numFmtId="49" fontId="10" fillId="12" borderId="0" xfId="0" applyNumberFormat="1" applyFont="1" applyFill="1" applyAlignment="1">
      <alignment horizontal="center"/>
    </xf>
    <xf numFmtId="0" fontId="17" fillId="8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/>
    </xf>
    <xf numFmtId="49" fontId="10" fillId="12" borderId="0" xfId="0" applyNumberFormat="1" applyFont="1" applyFill="1" applyAlignment="1">
      <alignment horizontal="left"/>
    </xf>
    <xf numFmtId="0" fontId="10" fillId="7" borderId="1" xfId="0" applyFont="1" applyFill="1" applyBorder="1" applyAlignment="1">
      <alignment horizontal="center"/>
    </xf>
    <xf numFmtId="0" fontId="13" fillId="5" borderId="1" xfId="0" applyFont="1" applyFill="1" applyBorder="1" applyAlignment="1">
      <alignment horizontal="center"/>
    </xf>
    <xf numFmtId="49" fontId="18" fillId="12" borderId="1" xfId="0" applyNumberFormat="1" applyFont="1" applyFill="1" applyBorder="1" applyAlignment="1">
      <alignment horizontal="center"/>
    </xf>
    <xf numFmtId="0" fontId="18" fillId="6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49" fontId="18" fillId="12" borderId="0" xfId="0" applyNumberFormat="1" applyFont="1" applyFill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19" fillId="8" borderId="1" xfId="0" applyFont="1" applyFill="1" applyBorder="1" applyAlignment="1">
      <alignment horizontal="center" vertical="center"/>
    </xf>
    <xf numFmtId="0" fontId="0" fillId="2" borderId="0" xfId="0" applyFill="1"/>
    <xf numFmtId="49" fontId="10" fillId="2" borderId="0" xfId="0" applyNumberFormat="1" applyFont="1" applyFill="1" applyAlignment="1">
      <alignment horizontal="center"/>
    </xf>
    <xf numFmtId="0" fontId="0" fillId="5" borderId="0" xfId="0" applyFill="1"/>
    <xf numFmtId="49" fontId="10" fillId="5" borderId="0" xfId="0" applyNumberFormat="1" applyFont="1" applyFill="1" applyAlignment="1">
      <alignment horizontal="center"/>
    </xf>
    <xf numFmtId="49" fontId="20" fillId="12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49" fontId="10" fillId="12" borderId="1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 vertical="center" wrapText="1" readingOrder="1"/>
    </xf>
    <xf numFmtId="49" fontId="10" fillId="0" borderId="0" xfId="0" applyNumberFormat="1" applyFont="1" applyAlignment="1">
      <alignment horizontal="center"/>
    </xf>
    <xf numFmtId="49" fontId="13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/>
    </xf>
    <xf numFmtId="0" fontId="27" fillId="14" borderId="0" xfId="0" applyFont="1" applyFill="1" applyAlignment="1" applyProtection="1">
      <alignment vertical="center" wrapText="1"/>
      <protection locked="0"/>
    </xf>
    <xf numFmtId="0" fontId="0" fillId="12" borderId="0" xfId="0" applyFill="1"/>
    <xf numFmtId="0" fontId="4" fillId="0" borderId="1" xfId="0" applyFont="1" applyBorder="1" applyAlignment="1" applyProtection="1">
      <alignment horizontal="center" vertical="center"/>
      <protection locked="0"/>
    </xf>
    <xf numFmtId="1" fontId="30" fillId="16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" fontId="36" fillId="20" borderId="1" xfId="0" applyNumberFormat="1" applyFont="1" applyFill="1" applyBorder="1" applyAlignment="1">
      <alignment horizontal="center" vertical="center"/>
    </xf>
    <xf numFmtId="0" fontId="8" fillId="21" borderId="1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8" fillId="12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0" fillId="14" borderId="1" xfId="0" applyFont="1" applyFill="1" applyBorder="1" applyAlignment="1" applyProtection="1">
      <alignment vertical="center" wrapText="1"/>
      <protection locked="0"/>
    </xf>
    <xf numFmtId="0" fontId="40" fillId="14" borderId="1" xfId="0" applyFont="1" applyFill="1" applyBorder="1" applyAlignment="1" applyProtection="1">
      <alignment horizontal="left" vertical="center" wrapText="1"/>
      <protection locked="0"/>
    </xf>
    <xf numFmtId="0" fontId="41" fillId="22" borderId="1" xfId="0" applyFont="1" applyFill="1" applyBorder="1" applyAlignment="1" applyProtection="1">
      <alignment horizontal="center" vertical="center" wrapText="1"/>
      <protection locked="0"/>
    </xf>
    <xf numFmtId="0" fontId="4" fillId="21" borderId="6" xfId="0" applyFont="1" applyFill="1" applyBorder="1" applyAlignment="1">
      <alignment horizontal="center" vertical="center"/>
    </xf>
    <xf numFmtId="1" fontId="28" fillId="16" borderId="1" xfId="0" applyNumberFormat="1" applyFont="1" applyFill="1" applyBorder="1" applyAlignment="1">
      <alignment horizontal="center" vertical="center"/>
    </xf>
    <xf numFmtId="0" fontId="42" fillId="14" borderId="0" xfId="0" applyFont="1" applyFill="1" applyAlignment="1" applyProtection="1">
      <alignment horizontal="center" wrapText="1"/>
      <protection locked="0"/>
    </xf>
    <xf numFmtId="0" fontId="21" fillId="23" borderId="1" xfId="0" applyFont="1" applyFill="1" applyBorder="1" applyAlignment="1" applyProtection="1">
      <alignment horizontal="center" vertical="center" wrapText="1"/>
      <protection locked="0"/>
    </xf>
    <xf numFmtId="0" fontId="22" fillId="23" borderId="1" xfId="0" applyFont="1" applyFill="1" applyBorder="1" applyAlignment="1" applyProtection="1">
      <alignment horizontal="center" vertical="center" wrapText="1"/>
      <protection locked="0"/>
    </xf>
    <xf numFmtId="0" fontId="44" fillId="15" borderId="1" xfId="0" applyFont="1" applyFill="1" applyBorder="1" applyAlignment="1" applyProtection="1">
      <alignment vertical="center" wrapText="1"/>
      <protection locked="0"/>
    </xf>
    <xf numFmtId="0" fontId="4" fillId="21" borderId="1" xfId="0" applyFont="1" applyFill="1" applyBorder="1" applyAlignment="1">
      <alignment horizontal="center" vertical="center"/>
    </xf>
    <xf numFmtId="0" fontId="46" fillId="0" borderId="0" xfId="0" applyFont="1"/>
    <xf numFmtId="0" fontId="47" fillId="0" borderId="0" xfId="0" applyFont="1"/>
    <xf numFmtId="0" fontId="44" fillId="14" borderId="0" xfId="0" applyFont="1" applyFill="1" applyAlignment="1" applyProtection="1">
      <alignment vertical="center" wrapText="1"/>
      <protection locked="0"/>
    </xf>
    <xf numFmtId="1" fontId="36" fillId="18" borderId="0" xfId="0" applyNumberFormat="1" applyFont="1" applyFill="1" applyAlignment="1">
      <alignment horizontal="center" vertical="center"/>
    </xf>
    <xf numFmtId="0" fontId="47" fillId="0" borderId="0" xfId="0" applyFont="1" applyProtection="1">
      <protection locked="0"/>
    </xf>
    <xf numFmtId="0" fontId="4" fillId="12" borderId="0" xfId="0" applyFont="1" applyFill="1" applyAlignment="1">
      <alignment horizontal="center" vertical="center"/>
    </xf>
    <xf numFmtId="0" fontId="3" fillId="12" borderId="0" xfId="0" applyFont="1" applyFill="1" applyAlignment="1" applyProtection="1">
      <alignment horizontal="center" vertical="center"/>
      <protection locked="0" hidden="1"/>
    </xf>
    <xf numFmtId="1" fontId="4" fillId="16" borderId="5" xfId="0" applyNumberFormat="1" applyFont="1" applyFill="1" applyBorder="1" applyAlignment="1" applyProtection="1">
      <alignment horizontal="center"/>
      <protection locked="0"/>
    </xf>
    <xf numFmtId="1" fontId="4" fillId="16" borderId="5" xfId="0" applyNumberFormat="1" applyFont="1" applyFill="1" applyBorder="1" applyAlignment="1" applyProtection="1">
      <alignment horizontal="center" vertical="center"/>
      <protection locked="0"/>
    </xf>
    <xf numFmtId="0" fontId="46" fillId="0" borderId="0" xfId="0" applyFont="1" applyAlignment="1">
      <alignment horizontal="center"/>
    </xf>
    <xf numFmtId="0" fontId="48" fillId="12" borderId="0" xfId="0" applyFont="1" applyFill="1" applyAlignment="1" applyProtection="1">
      <alignment horizontal="center" vertical="center"/>
      <protection locked="0" hidden="1"/>
    </xf>
    <xf numFmtId="1" fontId="46" fillId="12" borderId="0" xfId="0" applyNumberFormat="1" applyFont="1" applyFill="1" applyAlignment="1">
      <alignment horizontal="center"/>
    </xf>
    <xf numFmtId="1" fontId="38" fillId="18" borderId="0" xfId="0" applyNumberFormat="1" applyFont="1" applyFill="1" applyAlignment="1">
      <alignment horizontal="center" vertical="center"/>
    </xf>
    <xf numFmtId="0" fontId="49" fillId="12" borderId="0" xfId="0" applyFont="1" applyFill="1" applyAlignment="1">
      <alignment horizontal="center" vertical="center"/>
    </xf>
    <xf numFmtId="0" fontId="50" fillId="12" borderId="0" xfId="0" applyFont="1" applyFill="1" applyAlignment="1">
      <alignment horizontal="center" vertical="center"/>
    </xf>
    <xf numFmtId="1" fontId="46" fillId="0" borderId="0" xfId="0" applyNumberFormat="1" applyFont="1"/>
    <xf numFmtId="0" fontId="8" fillId="12" borderId="0" xfId="0" applyFont="1" applyFill="1" applyAlignment="1" applyProtection="1">
      <alignment horizontal="center" vertical="center"/>
      <protection locked="0"/>
    </xf>
    <xf numFmtId="0" fontId="46" fillId="12" borderId="0" xfId="0" applyFont="1" applyFill="1"/>
    <xf numFmtId="0" fontId="21" fillId="23" borderId="2" xfId="0" applyFont="1" applyFill="1" applyBorder="1" applyAlignment="1" applyProtection="1">
      <alignment horizontal="center" vertical="center" wrapText="1"/>
      <protection locked="0"/>
    </xf>
    <xf numFmtId="0" fontId="4" fillId="21" borderId="8" xfId="0" applyFont="1" applyFill="1" applyBorder="1" applyAlignment="1">
      <alignment horizontal="center" vertical="center"/>
    </xf>
    <xf numFmtId="0" fontId="4" fillId="21" borderId="7" xfId="0" applyFont="1" applyFill="1" applyBorder="1" applyAlignment="1">
      <alignment horizontal="center" vertical="center"/>
    </xf>
    <xf numFmtId="1" fontId="4" fillId="16" borderId="11" xfId="0" applyNumberFormat="1" applyFont="1" applyFill="1" applyBorder="1" applyAlignment="1" applyProtection="1">
      <alignment horizontal="center"/>
      <protection locked="0"/>
    </xf>
    <xf numFmtId="0" fontId="22" fillId="23" borderId="6" xfId="0" applyFont="1" applyFill="1" applyBorder="1" applyAlignment="1" applyProtection="1">
      <alignment horizontal="center" vertical="center" wrapText="1"/>
      <protection locked="0"/>
    </xf>
    <xf numFmtId="0" fontId="40" fillId="14" borderId="0" xfId="0" applyFont="1" applyFill="1" applyAlignment="1">
      <alignment vertical="center" wrapText="1"/>
    </xf>
    <xf numFmtId="0" fontId="5" fillId="14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3" fillId="12" borderId="1" xfId="0" applyFont="1" applyFill="1" applyBorder="1" applyAlignment="1">
      <alignment horizontal="center" vertical="center"/>
    </xf>
    <xf numFmtId="0" fontId="4" fillId="12" borderId="0" xfId="0" applyFont="1" applyFill="1" applyAlignment="1">
      <alignment horizontal="left" vertical="center" wrapText="1"/>
    </xf>
    <xf numFmtId="0" fontId="53" fillId="12" borderId="0" xfId="0" applyFont="1" applyFill="1" applyAlignment="1">
      <alignment horizontal="center" vertical="center"/>
    </xf>
    <xf numFmtId="0" fontId="61" fillId="22" borderId="2" xfId="0" applyFont="1" applyFill="1" applyBorder="1" applyAlignment="1" applyProtection="1">
      <alignment horizontal="center" vertical="center" wrapText="1"/>
      <protection locked="0"/>
    </xf>
    <xf numFmtId="0" fontId="62" fillId="19" borderId="1" xfId="0" applyFont="1" applyFill="1" applyBorder="1" applyAlignment="1" applyProtection="1">
      <alignment horizontal="center" vertical="center" wrapText="1"/>
      <protection locked="0"/>
    </xf>
    <xf numFmtId="0" fontId="62" fillId="23" borderId="1" xfId="0" applyFont="1" applyFill="1" applyBorder="1" applyAlignment="1" applyProtection="1">
      <alignment horizontal="center" vertical="center" wrapText="1"/>
      <protection locked="0"/>
    </xf>
    <xf numFmtId="0" fontId="38" fillId="22" borderId="1" xfId="0" applyFont="1" applyFill="1" applyBorder="1" applyAlignment="1" applyProtection="1">
      <alignment horizontal="center" vertical="center" wrapText="1"/>
      <protection locked="0"/>
    </xf>
    <xf numFmtId="0" fontId="63" fillId="28" borderId="1" xfId="0" applyFont="1" applyFill="1" applyBorder="1" applyAlignment="1" applyProtection="1">
      <alignment horizontal="center" vertical="center" wrapText="1"/>
      <protection locked="0"/>
    </xf>
    <xf numFmtId="0" fontId="60" fillId="12" borderId="0" xfId="0" applyFont="1" applyFill="1" applyAlignment="1">
      <alignment vertical="center"/>
    </xf>
    <xf numFmtId="0" fontId="60" fillId="12" borderId="0" xfId="0" applyFont="1" applyFill="1" applyAlignment="1">
      <alignment vertical="center" wrapText="1"/>
    </xf>
    <xf numFmtId="0" fontId="0" fillId="12" borderId="15" xfId="0" applyFill="1" applyBorder="1"/>
    <xf numFmtId="0" fontId="60" fillId="12" borderId="15" xfId="0" applyFont="1" applyFill="1" applyBorder="1" applyAlignment="1">
      <alignment vertical="center"/>
    </xf>
    <xf numFmtId="0" fontId="60" fillId="12" borderId="15" xfId="0" applyFont="1" applyFill="1" applyBorder="1" applyAlignment="1">
      <alignment vertical="center" wrapText="1"/>
    </xf>
    <xf numFmtId="0" fontId="54" fillId="12" borderId="0" xfId="0" applyFont="1" applyFill="1" applyAlignment="1">
      <alignment vertical="center"/>
    </xf>
    <xf numFmtId="0" fontId="66" fillId="12" borderId="0" xfId="0" applyFont="1" applyFill="1" applyAlignment="1">
      <alignment vertical="center"/>
    </xf>
    <xf numFmtId="0" fontId="66" fillId="12" borderId="0" xfId="0" applyFont="1" applyFill="1" applyAlignment="1">
      <alignment vertical="center" wrapText="1"/>
    </xf>
    <xf numFmtId="0" fontId="53" fillId="12" borderId="0" xfId="0" applyFont="1" applyFill="1" applyAlignment="1">
      <alignment vertical="center"/>
    </xf>
    <xf numFmtId="0" fontId="10" fillId="12" borderId="1" xfId="0" applyFont="1" applyFill="1" applyBorder="1" applyAlignment="1" applyProtection="1">
      <alignment horizontal="left" vertical="center"/>
      <protection locked="0"/>
    </xf>
    <xf numFmtId="0" fontId="45" fillId="16" borderId="1" xfId="0" applyFont="1" applyFill="1" applyBorder="1" applyAlignment="1">
      <alignment vertical="top"/>
    </xf>
    <xf numFmtId="0" fontId="47" fillId="16" borderId="1" xfId="0" applyFont="1" applyFill="1" applyBorder="1" applyAlignment="1">
      <alignment horizontal="left" vertical="top"/>
    </xf>
    <xf numFmtId="0" fontId="32" fillId="0" borderId="1" xfId="0" applyFont="1" applyBorder="1" applyAlignment="1">
      <alignment horizontal="center" vertical="center"/>
    </xf>
    <xf numFmtId="1" fontId="67" fillId="2" borderId="1" xfId="0" applyNumberFormat="1" applyFont="1" applyFill="1" applyBorder="1" applyAlignment="1">
      <alignment horizontal="center" vertical="center"/>
    </xf>
    <xf numFmtId="0" fontId="64" fillId="0" borderId="1" xfId="0" applyFont="1" applyBorder="1" applyAlignment="1" applyProtection="1">
      <alignment horizontal="center" vertical="center" wrapText="1"/>
      <protection locked="0"/>
    </xf>
    <xf numFmtId="0" fontId="46" fillId="0" borderId="0" xfId="0" applyFont="1" applyAlignment="1">
      <alignment vertical="center"/>
    </xf>
    <xf numFmtId="0" fontId="35" fillId="22" borderId="1" xfId="0" applyFont="1" applyFill="1" applyBorder="1" applyAlignment="1" applyProtection="1">
      <alignment horizontal="center" vertical="top" wrapText="1"/>
      <protection locked="0"/>
    </xf>
    <xf numFmtId="0" fontId="62" fillId="23" borderId="2" xfId="0" applyFont="1" applyFill="1" applyBorder="1" applyAlignment="1" applyProtection="1">
      <alignment horizontal="center" vertical="top" wrapText="1"/>
      <protection locked="0"/>
    </xf>
    <xf numFmtId="0" fontId="62" fillId="23" borderId="6" xfId="0" applyFont="1" applyFill="1" applyBorder="1" applyAlignment="1" applyProtection="1">
      <alignment horizontal="center" vertical="top" wrapText="1"/>
      <protection locked="0"/>
    </xf>
    <xf numFmtId="0" fontId="26" fillId="0" borderId="0" xfId="0" applyFont="1" applyAlignment="1">
      <alignment vertical="top"/>
    </xf>
    <xf numFmtId="0" fontId="26" fillId="31" borderId="1" xfId="0" applyFont="1" applyFill="1" applyBorder="1" applyAlignment="1">
      <alignment horizontal="center" vertical="top" wrapText="1"/>
    </xf>
    <xf numFmtId="0" fontId="62" fillId="32" borderId="2" xfId="0" applyFont="1" applyFill="1" applyBorder="1" applyAlignment="1" applyProtection="1">
      <alignment horizontal="center" vertical="top" wrapText="1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1" fontId="28" fillId="16" borderId="1" xfId="0" applyNumberFormat="1" applyFont="1" applyFill="1" applyBorder="1" applyAlignment="1">
      <alignment horizontal="left" vertical="center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7" fillId="16" borderId="1" xfId="0" applyFont="1" applyFill="1" applyBorder="1" applyAlignment="1">
      <alignment vertical="top"/>
    </xf>
    <xf numFmtId="0" fontId="57" fillId="8" borderId="1" xfId="0" applyFont="1" applyFill="1" applyBorder="1" applyAlignment="1">
      <alignment horizontal="left" vertical="top"/>
    </xf>
    <xf numFmtId="0" fontId="38" fillId="8" borderId="1" xfId="0" applyFont="1" applyFill="1" applyBorder="1" applyAlignment="1">
      <alignment horizontal="center" vertical="center"/>
    </xf>
    <xf numFmtId="0" fontId="47" fillId="29" borderId="1" xfId="0" applyFont="1" applyFill="1" applyBorder="1" applyAlignment="1">
      <alignment horizontal="center" vertical="center"/>
    </xf>
    <xf numFmtId="0" fontId="0" fillId="0" borderId="16" xfId="0" applyBorder="1"/>
    <xf numFmtId="0" fontId="0" fillId="6" borderId="0" xfId="0" applyFill="1"/>
    <xf numFmtId="0" fontId="52" fillId="34" borderId="2" xfId="0" applyFont="1" applyFill="1" applyBorder="1" applyAlignment="1" applyProtection="1">
      <alignment vertical="top"/>
      <protection locked="0"/>
    </xf>
    <xf numFmtId="0" fontId="41" fillId="34" borderId="9" xfId="0" applyFont="1" applyFill="1" applyBorder="1" applyAlignment="1" applyProtection="1">
      <alignment vertical="top"/>
      <protection locked="0"/>
    </xf>
    <xf numFmtId="0" fontId="41" fillId="34" borderId="10" xfId="0" applyFont="1" applyFill="1" applyBorder="1" applyAlignment="1" applyProtection="1">
      <alignment vertical="top"/>
      <protection locked="0"/>
    </xf>
    <xf numFmtId="0" fontId="0" fillId="27" borderId="0" xfId="0" applyFill="1"/>
    <xf numFmtId="0" fontId="13" fillId="0" borderId="0" xfId="0" applyFont="1" applyAlignment="1">
      <alignment vertical="center"/>
    </xf>
    <xf numFmtId="1" fontId="65" fillId="0" borderId="0" xfId="0" applyNumberFormat="1" applyFont="1" applyAlignment="1">
      <alignment horizontal="center" vertical="center"/>
    </xf>
    <xf numFmtId="0" fontId="69" fillId="16" borderId="1" xfId="0" applyFont="1" applyFill="1" applyBorder="1" applyAlignment="1">
      <alignment vertical="top" wrapText="1"/>
    </xf>
    <xf numFmtId="0" fontId="6" fillId="21" borderId="1" xfId="0" applyFont="1" applyFill="1" applyBorder="1" applyAlignment="1">
      <alignment horizontal="center" vertical="center"/>
    </xf>
    <xf numFmtId="0" fontId="61" fillId="35" borderId="1" xfId="0" applyFont="1" applyFill="1" applyBorder="1" applyAlignment="1">
      <alignment horizontal="center" vertical="center"/>
    </xf>
    <xf numFmtId="0" fontId="70" fillId="0" borderId="0" xfId="0" applyFont="1"/>
    <xf numFmtId="0" fontId="61" fillId="11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/>
    </xf>
    <xf numFmtId="0" fontId="7" fillId="12" borderId="0" xfId="0" applyFont="1" applyFill="1" applyAlignment="1">
      <alignment vertical="center" wrapText="1"/>
    </xf>
    <xf numFmtId="0" fontId="72" fillId="0" borderId="0" xfId="0" applyFont="1"/>
    <xf numFmtId="0" fontId="72" fillId="12" borderId="0" xfId="0" applyFont="1" applyFill="1"/>
    <xf numFmtId="0" fontId="60" fillId="0" borderId="0" xfId="0" applyFont="1" applyAlignment="1">
      <alignment vertical="center" wrapText="1"/>
    </xf>
    <xf numFmtId="0" fontId="62" fillId="0" borderId="0" xfId="0" applyFont="1" applyAlignment="1" applyProtection="1">
      <alignment horizontal="center" vertical="center" wrapText="1"/>
      <protection locked="0"/>
    </xf>
    <xf numFmtId="0" fontId="5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60" fillId="0" borderId="0" xfId="0" applyFont="1" applyAlignment="1">
      <alignment vertical="center"/>
    </xf>
    <xf numFmtId="0" fontId="66" fillId="0" borderId="0" xfId="0" applyFont="1" applyAlignment="1">
      <alignment vertical="center"/>
    </xf>
    <xf numFmtId="0" fontId="66" fillId="0" borderId="0" xfId="0" applyFont="1" applyAlignment="1">
      <alignment vertical="center" wrapText="1"/>
    </xf>
    <xf numFmtId="0" fontId="0" fillId="0" borderId="15" xfId="0" applyBorder="1"/>
    <xf numFmtId="0" fontId="60" fillId="0" borderId="15" xfId="0" applyFont="1" applyBorder="1" applyAlignment="1">
      <alignment vertical="center"/>
    </xf>
    <xf numFmtId="0" fontId="60" fillId="0" borderId="15" xfId="0" applyFont="1" applyBorder="1" applyAlignment="1">
      <alignment vertical="center" wrapText="1"/>
    </xf>
    <xf numFmtId="0" fontId="10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left" vertical="center"/>
      <protection locked="0"/>
    </xf>
    <xf numFmtId="0" fontId="62" fillId="0" borderId="2" xfId="0" applyFont="1" applyBorder="1" applyAlignment="1" applyProtection="1">
      <alignment horizontal="center" vertical="top" wrapText="1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8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1" fontId="28" fillId="0" borderId="1" xfId="0" applyNumberFormat="1" applyFont="1" applyBorder="1" applyAlignment="1">
      <alignment vertical="center"/>
    </xf>
    <xf numFmtId="1" fontId="36" fillId="0" borderId="1" xfId="0" applyNumberFormat="1" applyFont="1" applyBorder="1" applyAlignment="1">
      <alignment horizontal="center" vertical="center"/>
    </xf>
    <xf numFmtId="1" fontId="67" fillId="0" borderId="1" xfId="0" applyNumberFormat="1" applyFont="1" applyBorder="1" applyAlignment="1">
      <alignment horizontal="center" vertical="center"/>
    </xf>
    <xf numFmtId="0" fontId="14" fillId="26" borderId="1" xfId="0" applyFont="1" applyFill="1" applyBorder="1" applyAlignment="1">
      <alignment horizontal="center" vertical="center"/>
    </xf>
    <xf numFmtId="0" fontId="52" fillId="34" borderId="13" xfId="0" applyFont="1" applyFill="1" applyBorder="1" applyAlignment="1" applyProtection="1">
      <alignment vertical="top"/>
      <protection locked="0"/>
    </xf>
    <xf numFmtId="0" fontId="52" fillId="34" borderId="0" xfId="0" applyFont="1" applyFill="1" applyAlignment="1" applyProtection="1">
      <alignment vertical="top"/>
      <protection locked="0"/>
    </xf>
    <xf numFmtId="0" fontId="62" fillId="28" borderId="1" xfId="0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70" fillId="12" borderId="0" xfId="0" applyFont="1" applyFill="1"/>
    <xf numFmtId="0" fontId="62" fillId="32" borderId="1" xfId="0" applyFont="1" applyFill="1" applyBorder="1" applyAlignment="1" applyProtection="1">
      <alignment horizontal="center" vertical="top" wrapText="1"/>
      <protection locked="0"/>
    </xf>
    <xf numFmtId="0" fontId="3" fillId="28" borderId="1" xfId="0" applyFont="1" applyFill="1" applyBorder="1" applyAlignment="1" applyProtection="1">
      <alignment horizontal="center" vertical="top"/>
      <protection locked="0"/>
    </xf>
    <xf numFmtId="0" fontId="63" fillId="39" borderId="1" xfId="0" applyFont="1" applyFill="1" applyBorder="1" applyAlignment="1" applyProtection="1">
      <alignment horizontal="center" vertical="center" wrapText="1"/>
      <protection locked="0"/>
    </xf>
    <xf numFmtId="0" fontId="63" fillId="15" borderId="1" xfId="0" applyFont="1" applyFill="1" applyBorder="1" applyAlignment="1" applyProtection="1">
      <alignment horizontal="center" vertical="center" wrapText="1"/>
      <protection locked="0"/>
    </xf>
    <xf numFmtId="0" fontId="3" fillId="15" borderId="1" xfId="0" applyFont="1" applyFill="1" applyBorder="1" applyAlignment="1" applyProtection="1">
      <alignment horizontal="center" vertical="top"/>
      <protection locked="0"/>
    </xf>
    <xf numFmtId="0" fontId="34" fillId="15" borderId="1" xfId="0" applyFont="1" applyFill="1" applyBorder="1" applyAlignment="1" applyProtection="1">
      <alignment horizontal="center" vertical="center" wrapText="1"/>
      <protection locked="0"/>
    </xf>
    <xf numFmtId="0" fontId="34" fillId="39" borderId="1" xfId="0" applyFont="1" applyFill="1" applyBorder="1" applyAlignment="1" applyProtection="1">
      <alignment horizontal="center" vertical="center" wrapText="1"/>
      <protection locked="0"/>
    </xf>
    <xf numFmtId="0" fontId="34" fillId="28" borderId="1" xfId="0" applyFont="1" applyFill="1" applyBorder="1" applyAlignment="1" applyProtection="1">
      <alignment horizontal="center" vertical="center" wrapText="1"/>
      <protection locked="0"/>
    </xf>
    <xf numFmtId="0" fontId="60" fillId="0" borderId="15" xfId="0" applyFont="1" applyBorder="1" applyAlignment="1">
      <alignment horizontal="left" vertical="center" wrapText="1"/>
    </xf>
    <xf numFmtId="0" fontId="0" fillId="40" borderId="0" xfId="0" applyFill="1"/>
    <xf numFmtId="0" fontId="41" fillId="41" borderId="2" xfId="0" applyFont="1" applyFill="1" applyBorder="1" applyAlignment="1" applyProtection="1">
      <alignment vertical="top"/>
      <protection locked="0"/>
    </xf>
    <xf numFmtId="0" fontId="52" fillId="41" borderId="0" xfId="0" applyFont="1" applyFill="1" applyAlignment="1" applyProtection="1">
      <alignment vertical="top"/>
      <protection locked="0"/>
    </xf>
    <xf numFmtId="0" fontId="74" fillId="40" borderId="0" xfId="0" applyFont="1" applyFill="1" applyAlignment="1">
      <alignment vertical="center" wrapText="1"/>
    </xf>
    <xf numFmtId="0" fontId="74" fillId="40" borderId="0" xfId="0" applyFont="1" applyFill="1" applyAlignment="1">
      <alignment vertical="center"/>
    </xf>
    <xf numFmtId="0" fontId="58" fillId="40" borderId="0" xfId="0" applyFont="1" applyFill="1"/>
    <xf numFmtId="0" fontId="41" fillId="41" borderId="0" xfId="0" applyFont="1" applyFill="1" applyAlignment="1" applyProtection="1">
      <alignment vertical="top"/>
      <protection locked="0"/>
    </xf>
    <xf numFmtId="0" fontId="41" fillId="41" borderId="0" xfId="0" applyFont="1" applyFill="1" applyAlignment="1" applyProtection="1">
      <alignment horizontal="center" vertical="top"/>
      <protection locked="0"/>
    </xf>
    <xf numFmtId="0" fontId="0" fillId="40" borderId="14" xfId="0" applyFill="1" applyBorder="1"/>
    <xf numFmtId="0" fontId="62" fillId="28" borderId="2" xfId="0" applyFont="1" applyFill="1" applyBorder="1" applyAlignment="1" applyProtection="1">
      <alignment horizontal="center" vertical="center" wrapText="1"/>
      <protection locked="0"/>
    </xf>
    <xf numFmtId="0" fontId="52" fillId="14" borderId="0" xfId="0" applyFont="1" applyFill="1" applyAlignment="1" applyProtection="1">
      <alignment vertical="top"/>
      <protection locked="0"/>
    </xf>
    <xf numFmtId="0" fontId="72" fillId="27" borderId="0" xfId="0" applyFont="1" applyFill="1"/>
    <xf numFmtId="0" fontId="7" fillId="27" borderId="0" xfId="0" applyFont="1" applyFill="1" applyAlignment="1">
      <alignment vertical="center"/>
    </xf>
    <xf numFmtId="0" fontId="7" fillId="27" borderId="0" xfId="0" applyFont="1" applyFill="1" applyAlignment="1">
      <alignment vertical="center" wrapText="1"/>
    </xf>
    <xf numFmtId="0" fontId="38" fillId="22" borderId="2" xfId="0" applyFont="1" applyFill="1" applyBorder="1" applyAlignment="1" applyProtection="1">
      <alignment horizontal="center" vertical="center" wrapText="1"/>
      <protection locked="0"/>
    </xf>
    <xf numFmtId="0" fontId="40" fillId="14" borderId="2" xfId="0" applyFont="1" applyFill="1" applyBorder="1" applyAlignment="1" applyProtection="1">
      <alignment vertical="center" wrapText="1"/>
      <protection locked="0"/>
    </xf>
    <xf numFmtId="0" fontId="40" fillId="14" borderId="2" xfId="0" applyFont="1" applyFill="1" applyBorder="1" applyAlignment="1" applyProtection="1">
      <alignment horizontal="left" vertical="center" wrapText="1"/>
      <protection locked="0"/>
    </xf>
    <xf numFmtId="0" fontId="60" fillId="6" borderId="0" xfId="0" applyFont="1" applyFill="1" applyAlignment="1">
      <alignment vertical="center" wrapText="1"/>
    </xf>
    <xf numFmtId="0" fontId="52" fillId="33" borderId="13" xfId="0" applyFont="1" applyFill="1" applyBorder="1" applyAlignment="1" applyProtection="1">
      <alignment vertical="top"/>
      <protection locked="0"/>
    </xf>
    <xf numFmtId="0" fontId="52" fillId="33" borderId="0" xfId="0" applyFont="1" applyFill="1" applyAlignment="1" applyProtection="1">
      <alignment vertical="top"/>
      <protection locked="0"/>
    </xf>
    <xf numFmtId="0" fontId="4" fillId="0" borderId="8" xfId="0" applyFont="1" applyBorder="1" applyAlignment="1">
      <alignment horizontal="center" vertical="center"/>
    </xf>
    <xf numFmtId="0" fontId="75" fillId="14" borderId="0" xfId="0" applyFont="1" applyFill="1" applyAlignment="1" applyProtection="1">
      <alignment vertical="center" wrapText="1"/>
      <protection locked="0"/>
    </xf>
    <xf numFmtId="0" fontId="31" fillId="12" borderId="0" xfId="0" applyFont="1" applyFill="1" applyAlignment="1">
      <alignment horizontal="left" vertical="center"/>
    </xf>
    <xf numFmtId="0" fontId="2" fillId="17" borderId="13" xfId="0" applyFont="1" applyFill="1" applyBorder="1" applyAlignment="1" applyProtection="1">
      <alignment vertical="center" wrapText="1"/>
      <protection locked="0"/>
    </xf>
    <xf numFmtId="0" fontId="2" fillId="17" borderId="1" xfId="0" applyFont="1" applyFill="1" applyBorder="1" applyAlignment="1" applyProtection="1">
      <alignment vertical="center" wrapText="1"/>
      <protection locked="0"/>
    </xf>
    <xf numFmtId="0" fontId="40" fillId="14" borderId="13" xfId="0" applyFont="1" applyFill="1" applyBorder="1" applyAlignment="1" applyProtection="1">
      <alignment vertical="center" wrapText="1"/>
      <protection locked="0"/>
    </xf>
    <xf numFmtId="0" fontId="40" fillId="14" borderId="13" xfId="0" applyFont="1" applyFill="1" applyBorder="1" applyAlignment="1">
      <alignment vertical="center" wrapText="1"/>
    </xf>
    <xf numFmtId="0" fontId="4" fillId="12" borderId="13" xfId="0" applyFont="1" applyFill="1" applyBorder="1" applyAlignment="1">
      <alignment horizontal="left" vertical="center"/>
    </xf>
    <xf numFmtId="0" fontId="4" fillId="12" borderId="13" xfId="0" applyFont="1" applyFill="1" applyBorder="1" applyAlignment="1">
      <alignment horizontal="left" vertical="center" wrapText="1"/>
    </xf>
    <xf numFmtId="0" fontId="0" fillId="0" borderId="13" xfId="0" applyBorder="1"/>
    <xf numFmtId="0" fontId="77" fillId="5" borderId="1" xfId="0" applyFont="1" applyFill="1" applyBorder="1" applyAlignment="1">
      <alignment horizontal="center" vertical="center"/>
    </xf>
    <xf numFmtId="0" fontId="53" fillId="7" borderId="1" xfId="0" applyFont="1" applyFill="1" applyBorder="1" applyAlignment="1">
      <alignment horizontal="center" vertical="center"/>
    </xf>
    <xf numFmtId="0" fontId="71" fillId="0" borderId="1" xfId="0" applyFont="1" applyBorder="1" applyAlignment="1">
      <alignment horizontal="center" vertical="center" wrapText="1"/>
    </xf>
    <xf numFmtId="0" fontId="45" fillId="0" borderId="0" xfId="0" applyFont="1" applyAlignment="1">
      <alignment horizontal="right"/>
    </xf>
    <xf numFmtId="0" fontId="84" fillId="0" borderId="0" xfId="0" applyFont="1"/>
    <xf numFmtId="0" fontId="40" fillId="14" borderId="1" xfId="0" applyFont="1" applyFill="1" applyBorder="1" applyAlignment="1">
      <alignment horizontal="center" vertical="center" wrapText="1"/>
    </xf>
    <xf numFmtId="0" fontId="51" fillId="2" borderId="1" xfId="0" applyFont="1" applyFill="1" applyBorder="1" applyAlignment="1">
      <alignment horizontal="right" vertical="center"/>
    </xf>
    <xf numFmtId="0" fontId="0" fillId="25" borderId="1" xfId="0" applyFill="1" applyBorder="1" applyAlignment="1">
      <alignment horizontal="center" wrapText="1"/>
    </xf>
    <xf numFmtId="0" fontId="85" fillId="14" borderId="0" xfId="0" applyFont="1" applyFill="1" applyAlignment="1" applyProtection="1">
      <alignment horizontal="center" wrapText="1"/>
      <protection locked="0"/>
    </xf>
    <xf numFmtId="0" fontId="86" fillId="14" borderId="0" xfId="0" applyFont="1" applyFill="1" applyAlignment="1" applyProtection="1">
      <alignment horizontal="center" wrapText="1"/>
      <protection locked="0"/>
    </xf>
    <xf numFmtId="0" fontId="71" fillId="2" borderId="1" xfId="0" applyFont="1" applyFill="1" applyBorder="1" applyAlignment="1">
      <alignment horizontal="right" vertical="center" wrapText="1"/>
    </xf>
    <xf numFmtId="0" fontId="88" fillId="3" borderId="1" xfId="0" applyFont="1" applyFill="1" applyBorder="1" applyAlignment="1">
      <alignment horizontal="center" vertical="center"/>
    </xf>
    <xf numFmtId="0" fontId="5" fillId="21" borderId="1" xfId="0" applyFont="1" applyFill="1" applyBorder="1" applyAlignment="1">
      <alignment horizontal="center" vertical="center"/>
    </xf>
    <xf numFmtId="1" fontId="89" fillId="5" borderId="1" xfId="0" applyNumberFormat="1" applyFont="1" applyFill="1" applyBorder="1" applyAlignment="1">
      <alignment horizontal="center" vertical="center"/>
    </xf>
    <xf numFmtId="1" fontId="90" fillId="25" borderId="1" xfId="0" applyNumberFormat="1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 vertical="center" wrapText="1"/>
    </xf>
    <xf numFmtId="1" fontId="30" fillId="16" borderId="1" xfId="0" applyNumberFormat="1" applyFont="1" applyFill="1" applyBorder="1" applyAlignment="1">
      <alignment horizontal="left"/>
    </xf>
    <xf numFmtId="0" fontId="61" fillId="35" borderId="1" xfId="0" applyFont="1" applyFill="1" applyBorder="1" applyAlignment="1">
      <alignment horizontal="center"/>
    </xf>
    <xf numFmtId="0" fontId="61" fillId="11" borderId="1" xfId="0" applyFont="1" applyFill="1" applyBorder="1" applyAlignment="1">
      <alignment horizontal="center" wrapText="1"/>
    </xf>
    <xf numFmtId="0" fontId="7" fillId="7" borderId="1" xfId="0" applyFont="1" applyFill="1" applyBorder="1" applyAlignment="1">
      <alignment horizontal="center"/>
    </xf>
    <xf numFmtId="0" fontId="61" fillId="11" borderId="2" xfId="0" applyFont="1" applyFill="1" applyBorder="1" applyAlignment="1">
      <alignment horizontal="center" wrapText="1"/>
    </xf>
    <xf numFmtId="0" fontId="41" fillId="14" borderId="13" xfId="0" applyFont="1" applyFill="1" applyBorder="1" applyAlignment="1" applyProtection="1">
      <alignment vertical="top"/>
      <protection locked="0"/>
    </xf>
    <xf numFmtId="0" fontId="61" fillId="12" borderId="0" xfId="0" applyFont="1" applyFill="1" applyAlignment="1">
      <alignment horizontal="center" vertical="center"/>
    </xf>
    <xf numFmtId="0" fontId="61" fillId="12" borderId="0" xfId="0" applyFont="1" applyFill="1" applyAlignment="1">
      <alignment horizontal="center" vertical="center" wrapText="1"/>
    </xf>
    <xf numFmtId="0" fontId="7" fillId="12" borderId="0" xfId="0" applyFont="1" applyFill="1" applyAlignment="1">
      <alignment horizontal="center" vertical="center"/>
    </xf>
    <xf numFmtId="1" fontId="30" fillId="47" borderId="1" xfId="0" applyNumberFormat="1" applyFont="1" applyFill="1" applyBorder="1" applyAlignment="1">
      <alignment horizontal="center"/>
    </xf>
    <xf numFmtId="1" fontId="90" fillId="47" borderId="1" xfId="0" applyNumberFormat="1" applyFont="1" applyFill="1" applyBorder="1" applyAlignment="1">
      <alignment horizontal="center"/>
    </xf>
    <xf numFmtId="0" fontId="0" fillId="47" borderId="0" xfId="0" applyFill="1"/>
    <xf numFmtId="1" fontId="30" fillId="47" borderId="1" xfId="0" applyNumberFormat="1" applyFont="1" applyFill="1" applyBorder="1" applyAlignment="1">
      <alignment horizontal="left"/>
    </xf>
    <xf numFmtId="0" fontId="5" fillId="47" borderId="1" xfId="0" applyFont="1" applyFill="1" applyBorder="1" applyAlignment="1">
      <alignment horizontal="center" vertical="center"/>
    </xf>
    <xf numFmtId="1" fontId="89" fillId="47" borderId="1" xfId="0" applyNumberFormat="1" applyFont="1" applyFill="1" applyBorder="1" applyAlignment="1">
      <alignment horizontal="center" vertical="center"/>
    </xf>
    <xf numFmtId="0" fontId="2" fillId="15" borderId="1" xfId="0" applyFont="1" applyFill="1" applyBorder="1" applyAlignment="1" applyProtection="1">
      <alignment horizontal="left" vertical="center" wrapText="1"/>
      <protection locked="0"/>
    </xf>
    <xf numFmtId="0" fontId="73" fillId="47" borderId="1" xfId="0" applyFont="1" applyFill="1" applyBorder="1" applyAlignment="1">
      <alignment vertical="center" wrapText="1"/>
    </xf>
    <xf numFmtId="0" fontId="62" fillId="23" borderId="1" xfId="0" applyFont="1" applyFill="1" applyBorder="1" applyAlignment="1" applyProtection="1">
      <alignment horizontal="center" vertical="top" wrapText="1"/>
      <protection locked="0"/>
    </xf>
    <xf numFmtId="0" fontId="91" fillId="0" borderId="0" xfId="0" applyFont="1"/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0" fillId="12" borderId="0" xfId="0" applyFont="1" applyFill="1" applyAlignment="1">
      <alignment horizontal="left" vertical="center" wrapText="1"/>
    </xf>
    <xf numFmtId="0" fontId="0" fillId="0" borderId="0" xfId="0" applyAlignment="1">
      <alignment horizontal="left"/>
    </xf>
    <xf numFmtId="0" fontId="52" fillId="0" borderId="0" xfId="0" applyFont="1" applyAlignment="1">
      <alignment horizontal="left" vertical="center"/>
    </xf>
    <xf numFmtId="0" fontId="0" fillId="12" borderId="0" xfId="0" applyFill="1" applyAlignment="1">
      <alignment horizontal="left"/>
    </xf>
    <xf numFmtId="0" fontId="16" fillId="12" borderId="0" xfId="0" applyFont="1" applyFill="1" applyAlignment="1">
      <alignment horizontal="center" vertical="center"/>
    </xf>
    <xf numFmtId="0" fontId="10" fillId="12" borderId="0" xfId="0" applyFont="1" applyFill="1" applyAlignment="1">
      <alignment horizontal="center"/>
    </xf>
    <xf numFmtId="0" fontId="71" fillId="0" borderId="0" xfId="0" applyFont="1" applyAlignment="1">
      <alignment horizontal="center" vertical="center" wrapText="1"/>
    </xf>
    <xf numFmtId="0" fontId="56" fillId="0" borderId="0" xfId="0" applyFont="1" applyAlignment="1">
      <alignment vertical="center" wrapText="1"/>
    </xf>
    <xf numFmtId="0" fontId="40" fillId="17" borderId="1" xfId="0" applyFont="1" applyFill="1" applyBorder="1" applyAlignment="1">
      <alignment horizontal="center" vertical="center" wrapText="1"/>
    </xf>
    <xf numFmtId="0" fontId="10" fillId="12" borderId="0" xfId="0" applyFont="1" applyFill="1" applyAlignment="1">
      <alignment horizontal="center" vertical="center"/>
    </xf>
    <xf numFmtId="2" fontId="51" fillId="12" borderId="0" xfId="0" applyNumberFormat="1" applyFont="1" applyFill="1" applyAlignment="1">
      <alignment horizontal="center" vertical="center"/>
    </xf>
    <xf numFmtId="0" fontId="80" fillId="12" borderId="0" xfId="0" applyFont="1" applyFill="1" applyAlignment="1">
      <alignment horizontal="center" vertical="center" wrapText="1"/>
    </xf>
    <xf numFmtId="0" fontId="22" fillId="23" borderId="2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0" fillId="12" borderId="6" xfId="0" applyFill="1" applyBorder="1"/>
    <xf numFmtId="0" fontId="14" fillId="2" borderId="0" xfId="0" applyFont="1" applyFill="1" applyAlignment="1">
      <alignment horizontal="center" vertical="center"/>
    </xf>
    <xf numFmtId="0" fontId="14" fillId="26" borderId="0" xfId="0" applyFont="1" applyFill="1" applyAlignment="1">
      <alignment horizontal="center" vertical="center"/>
    </xf>
    <xf numFmtId="0" fontId="77" fillId="5" borderId="0" xfId="0" applyFont="1" applyFill="1" applyAlignment="1">
      <alignment horizontal="center" vertical="center"/>
    </xf>
    <xf numFmtId="0" fontId="8" fillId="12" borderId="1" xfId="0" applyFont="1" applyFill="1" applyBorder="1" applyAlignment="1">
      <alignment horizontal="center" vertical="center"/>
    </xf>
    <xf numFmtId="0" fontId="8" fillId="12" borderId="2" xfId="0" applyFont="1" applyFill="1" applyBorder="1" applyAlignment="1">
      <alignment horizontal="center" vertical="center"/>
    </xf>
    <xf numFmtId="0" fontId="4" fillId="31" borderId="1" xfId="0" applyFont="1" applyFill="1" applyBorder="1" applyAlignment="1">
      <alignment horizontal="center" vertical="center"/>
    </xf>
    <xf numFmtId="0" fontId="40" fillId="46" borderId="0" xfId="0" applyFont="1" applyFill="1" applyAlignment="1">
      <alignment vertical="center" wrapText="1"/>
    </xf>
    <xf numFmtId="0" fontId="8" fillId="16" borderId="1" xfId="0" applyFont="1" applyFill="1" applyBorder="1" applyAlignment="1" applyProtection="1">
      <alignment horizontal="center" vertical="center"/>
      <protection locked="0"/>
    </xf>
    <xf numFmtId="0" fontId="53" fillId="16" borderId="0" xfId="0" applyFont="1" applyFill="1" applyAlignment="1">
      <alignment horizontal="center" vertical="center"/>
    </xf>
    <xf numFmtId="0" fontId="0" fillId="16" borderId="0" xfId="0" applyFill="1"/>
    <xf numFmtId="0" fontId="62" fillId="46" borderId="0" xfId="0" applyFont="1" applyFill="1" applyAlignment="1" applyProtection="1">
      <alignment horizontal="center" vertical="center" wrapText="1"/>
      <protection locked="0"/>
    </xf>
    <xf numFmtId="0" fontId="40" fillId="46" borderId="0" xfId="0" applyFont="1" applyFill="1" applyAlignment="1" applyProtection="1">
      <alignment vertical="center" wrapText="1"/>
      <protection locked="0"/>
    </xf>
    <xf numFmtId="0" fontId="62" fillId="14" borderId="0" xfId="0" applyFont="1" applyFill="1" applyAlignment="1" applyProtection="1">
      <alignment horizontal="center" vertical="center" wrapText="1"/>
      <protection locked="0"/>
    </xf>
    <xf numFmtId="0" fontId="62" fillId="14" borderId="1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0" fillId="0" borderId="6" xfId="0" applyBorder="1"/>
    <xf numFmtId="0" fontId="0" fillId="0" borderId="3" xfId="0" applyBorder="1"/>
    <xf numFmtId="0" fontId="13" fillId="12" borderId="0" xfId="0" applyFont="1" applyFill="1" applyAlignment="1">
      <alignment horizontal="center" vertical="center"/>
    </xf>
    <xf numFmtId="0" fontId="45" fillId="0" borderId="0" xfId="0" applyFont="1"/>
    <xf numFmtId="0" fontId="10" fillId="0" borderId="0" xfId="0" applyFont="1" applyAlignment="1">
      <alignment horizontal="center" vertical="center"/>
    </xf>
    <xf numFmtId="0" fontId="100" fillId="0" borderId="0" xfId="0" applyFont="1" applyAlignment="1" applyProtection="1">
      <alignment vertical="top" wrapText="1"/>
      <protection locked="0"/>
    </xf>
    <xf numFmtId="0" fontId="95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56" fillId="0" borderId="0" xfId="0" applyFont="1" applyAlignment="1">
      <alignment horizontal="left" vertical="center" wrapText="1"/>
    </xf>
    <xf numFmtId="0" fontId="52" fillId="16" borderId="10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/>
    </xf>
    <xf numFmtId="0" fontId="26" fillId="0" borderId="0" xfId="0" applyFont="1" applyAlignment="1" applyProtection="1">
      <alignment horizontal="center" vertical="center" wrapText="1"/>
      <protection locked="0"/>
    </xf>
    <xf numFmtId="0" fontId="105" fillId="0" borderId="0" xfId="0" applyFont="1" applyAlignment="1">
      <alignment vertical="center" wrapText="1"/>
    </xf>
    <xf numFmtId="0" fontId="0" fillId="49" borderId="0" xfId="0" applyFill="1"/>
    <xf numFmtId="0" fontId="0" fillId="0" borderId="0" xfId="0" applyAlignment="1">
      <alignment vertical="top"/>
    </xf>
    <xf numFmtId="0" fontId="56" fillId="0" borderId="0" xfId="0" applyFont="1" applyAlignment="1">
      <alignment vertical="top"/>
    </xf>
    <xf numFmtId="0" fontId="5" fillId="0" borderId="0" xfId="0" applyFont="1" applyAlignment="1" applyProtection="1">
      <alignment horizontal="left" wrapText="1"/>
      <protection locked="0"/>
    </xf>
    <xf numFmtId="0" fontId="0" fillId="5" borderId="0" xfId="0" applyFill="1" applyAlignment="1">
      <alignment horizontal="center"/>
    </xf>
    <xf numFmtId="0" fontId="116" fillId="0" borderId="0" xfId="0" applyFont="1"/>
    <xf numFmtId="0" fontId="116" fillId="0" borderId="0" xfId="0" applyFont="1" applyAlignment="1">
      <alignment vertical="top"/>
    </xf>
    <xf numFmtId="0" fontId="117" fillId="26" borderId="0" xfId="0" applyFont="1" applyFill="1" applyAlignment="1">
      <alignment vertical="top" wrapText="1"/>
    </xf>
    <xf numFmtId="0" fontId="41" fillId="24" borderId="12" xfId="0" applyFont="1" applyFill="1" applyBorder="1" applyAlignment="1">
      <alignment horizontal="left" vertical="center"/>
    </xf>
    <xf numFmtId="0" fontId="109" fillId="0" borderId="0" xfId="0" applyFont="1" applyAlignment="1">
      <alignment horizontal="center" wrapText="1"/>
    </xf>
    <xf numFmtId="0" fontId="38" fillId="22" borderId="1" xfId="0" applyFont="1" applyFill="1" applyBorder="1" applyAlignment="1">
      <alignment horizontal="left" vertical="center" wrapText="1"/>
    </xf>
    <xf numFmtId="0" fontId="22" fillId="23" borderId="17" xfId="0" applyFont="1" applyFill="1" applyBorder="1" applyAlignment="1">
      <alignment horizontal="center" vertical="center" wrapText="1"/>
    </xf>
    <xf numFmtId="0" fontId="7" fillId="14" borderId="0" xfId="0" applyFont="1" applyFill="1" applyAlignment="1">
      <alignment horizontal="center" vertical="center" wrapText="1"/>
    </xf>
    <xf numFmtId="0" fontId="45" fillId="5" borderId="0" xfId="0" applyFont="1" applyFill="1"/>
    <xf numFmtId="0" fontId="5" fillId="12" borderId="0" xfId="0" applyFont="1" applyFill="1" applyAlignment="1">
      <alignment horizontal="right" vertical="center"/>
    </xf>
    <xf numFmtId="0" fontId="101" fillId="12" borderId="0" xfId="0" applyFont="1" applyFill="1" applyAlignment="1">
      <alignment horizontal="left" vertical="center"/>
    </xf>
    <xf numFmtId="0" fontId="5" fillId="12" borderId="0" xfId="0" applyFont="1" applyFill="1" applyAlignment="1">
      <alignment horizontal="left" vertical="center"/>
    </xf>
    <xf numFmtId="0" fontId="4" fillId="12" borderId="0" xfId="0" applyFont="1" applyFill="1" applyAlignment="1">
      <alignment horizontal="left" vertical="center"/>
    </xf>
    <xf numFmtId="0" fontId="8" fillId="12" borderId="0" xfId="0" applyFont="1" applyFill="1" applyAlignment="1">
      <alignment horizontal="center" vertical="center"/>
    </xf>
    <xf numFmtId="0" fontId="10" fillId="1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26" borderId="0" xfId="0" applyFont="1" applyFill="1" applyAlignment="1">
      <alignment horizontal="center" vertical="center" wrapText="1"/>
    </xf>
    <xf numFmtId="0" fontId="3" fillId="12" borderId="0" xfId="0" applyFont="1" applyFill="1" applyAlignment="1">
      <alignment horizontal="center" vertical="center" wrapText="1"/>
    </xf>
    <xf numFmtId="0" fontId="0" fillId="7" borderId="0" xfId="0" applyFill="1"/>
    <xf numFmtId="0" fontId="81" fillId="0" borderId="0" xfId="0" applyFont="1"/>
    <xf numFmtId="0" fontId="41" fillId="22" borderId="1" xfId="0" applyFont="1" applyFill="1" applyBorder="1" applyAlignment="1">
      <alignment horizontal="center" vertical="center" wrapText="1"/>
    </xf>
    <xf numFmtId="0" fontId="22" fillId="23" borderId="2" xfId="0" applyFont="1" applyFill="1" applyBorder="1" applyAlignment="1">
      <alignment horizontal="center" vertical="center" wrapText="1"/>
    </xf>
    <xf numFmtId="0" fontId="21" fillId="14" borderId="1" xfId="0" applyFont="1" applyFill="1" applyBorder="1" applyAlignment="1">
      <alignment horizontal="left" vertical="center" wrapText="1"/>
    </xf>
    <xf numFmtId="0" fontId="21" fillId="14" borderId="1" xfId="0" applyFont="1" applyFill="1" applyBorder="1" applyAlignment="1">
      <alignment vertical="center" wrapText="1"/>
    </xf>
    <xf numFmtId="0" fontId="43" fillId="22" borderId="4" xfId="0" applyFont="1" applyFill="1" applyBorder="1" applyAlignment="1">
      <alignment horizontal="left" vertical="center" wrapText="1"/>
    </xf>
    <xf numFmtId="0" fontId="55" fillId="21" borderId="1" xfId="0" applyFont="1" applyFill="1" applyBorder="1" applyAlignment="1">
      <alignment horizontal="center" vertical="center"/>
    </xf>
    <xf numFmtId="0" fontId="51" fillId="12" borderId="0" xfId="0" applyFont="1" applyFill="1" applyAlignment="1">
      <alignment horizontal="center" vertical="center"/>
    </xf>
    <xf numFmtId="0" fontId="3" fillId="0" borderId="13" xfId="0" applyFont="1" applyBorder="1" applyAlignment="1">
      <alignment vertical="center" wrapText="1"/>
    </xf>
    <xf numFmtId="0" fontId="71" fillId="0" borderId="13" xfId="0" applyFont="1" applyBorder="1" applyAlignment="1">
      <alignment horizontal="center" vertical="center" wrapText="1"/>
    </xf>
    <xf numFmtId="0" fontId="5" fillId="0" borderId="13" xfId="0" applyFont="1" applyBorder="1" applyAlignment="1">
      <alignment vertical="center" wrapText="1"/>
    </xf>
    <xf numFmtId="0" fontId="40" fillId="14" borderId="0" xfId="0" applyFont="1" applyFill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12" borderId="0" xfId="0" applyFont="1" applyFill="1" applyAlignment="1">
      <alignment horizontal="center" vertical="center"/>
    </xf>
    <xf numFmtId="0" fontId="3" fillId="26" borderId="4" xfId="0" applyFont="1" applyFill="1" applyBorder="1" applyAlignment="1">
      <alignment horizontal="center" vertical="center" wrapText="1"/>
    </xf>
    <xf numFmtId="0" fontId="52" fillId="12" borderId="0" xfId="0" applyFont="1" applyFill="1" applyAlignment="1">
      <alignment horizontal="center" vertical="center" wrapText="1"/>
    </xf>
    <xf numFmtId="0" fontId="94" fillId="12" borderId="0" xfId="0" applyFont="1" applyFill="1" applyAlignment="1">
      <alignment horizontal="center" vertical="center" wrapText="1"/>
    </xf>
    <xf numFmtId="0" fontId="96" fillId="12" borderId="0" xfId="0" applyFont="1" applyFill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27" fillId="14" borderId="0" xfId="0" applyFont="1" applyFill="1" applyAlignment="1">
      <alignment vertical="center" wrapText="1"/>
    </xf>
    <xf numFmtId="0" fontId="106" fillId="14" borderId="0" xfId="0" applyFont="1" applyFill="1" applyAlignment="1">
      <alignment horizontal="center" wrapText="1"/>
    </xf>
    <xf numFmtId="0" fontId="21" fillId="23" borderId="1" xfId="0" applyFont="1" applyFill="1" applyBorder="1" applyAlignment="1">
      <alignment horizontal="center" vertical="center" wrapText="1"/>
    </xf>
    <xf numFmtId="0" fontId="22" fillId="23" borderId="1" xfId="0" applyFont="1" applyFill="1" applyBorder="1" applyAlignment="1">
      <alignment horizontal="center" vertical="center" wrapText="1"/>
    </xf>
    <xf numFmtId="0" fontId="40" fillId="14" borderId="1" xfId="0" applyFont="1" applyFill="1" applyBorder="1" applyAlignment="1">
      <alignment vertical="center" wrapText="1"/>
    </xf>
    <xf numFmtId="0" fontId="40" fillId="14" borderId="1" xfId="0" applyFont="1" applyFill="1" applyBorder="1" applyAlignment="1">
      <alignment horizontal="left" vertical="center" wrapText="1"/>
    </xf>
    <xf numFmtId="0" fontId="40" fillId="17" borderId="1" xfId="0" applyFont="1" applyFill="1" applyBorder="1" applyAlignment="1">
      <alignment vertical="center" wrapText="1"/>
    </xf>
    <xf numFmtId="0" fontId="40" fillId="46" borderId="1" xfId="0" applyFont="1" applyFill="1" applyBorder="1" applyAlignment="1">
      <alignment vertical="center" wrapText="1"/>
    </xf>
    <xf numFmtId="0" fontId="44" fillId="15" borderId="1" xfId="0" applyFont="1" applyFill="1" applyBorder="1" applyAlignment="1">
      <alignment vertical="center" wrapText="1"/>
    </xf>
    <xf numFmtId="0" fontId="24" fillId="23" borderId="1" xfId="0" applyFont="1" applyFill="1" applyBorder="1" applyAlignment="1">
      <alignment horizontal="center" vertical="center" wrapText="1"/>
    </xf>
    <xf numFmtId="0" fontId="56" fillId="12" borderId="1" xfId="0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56" fillId="12" borderId="0" xfId="0" applyFont="1" applyFill="1" applyAlignment="1">
      <alignment horizontal="center" vertical="center" wrapText="1"/>
    </xf>
    <xf numFmtId="0" fontId="4" fillId="12" borderId="0" xfId="0" applyFont="1" applyFill="1" applyAlignment="1">
      <alignment horizontal="center" vertical="center" wrapText="1"/>
    </xf>
    <xf numFmtId="0" fontId="38" fillId="22" borderId="1" xfId="0" applyFont="1" applyFill="1" applyBorder="1" applyAlignment="1">
      <alignment horizontal="right" vertical="center" wrapText="1"/>
    </xf>
    <xf numFmtId="0" fontId="41" fillId="41" borderId="12" xfId="0" applyFont="1" applyFill="1" applyBorder="1" applyAlignment="1">
      <alignment vertical="top"/>
    </xf>
    <xf numFmtId="0" fontId="7" fillId="0" borderId="0" xfId="0" applyFont="1" applyAlignment="1">
      <alignment horizontal="center" vertical="center" wrapText="1"/>
    </xf>
    <xf numFmtId="0" fontId="61" fillId="22" borderId="8" xfId="0" applyFont="1" applyFill="1" applyBorder="1" applyAlignment="1">
      <alignment horizontal="center" vertical="center" wrapText="1"/>
    </xf>
    <xf numFmtId="0" fontId="79" fillId="46" borderId="8" xfId="0" applyFont="1" applyFill="1" applyBorder="1" applyAlignment="1">
      <alignment horizontal="center" vertical="center" wrapText="1"/>
    </xf>
    <xf numFmtId="0" fontId="7" fillId="46" borderId="17" xfId="0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center" vertical="center"/>
    </xf>
    <xf numFmtId="0" fontId="103" fillId="12" borderId="1" xfId="0" applyFont="1" applyFill="1" applyBorder="1" applyAlignment="1">
      <alignment horizontal="left" vertical="center"/>
    </xf>
    <xf numFmtId="0" fontId="8" fillId="48" borderId="1" xfId="0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left" vertical="center"/>
    </xf>
    <xf numFmtId="0" fontId="26" fillId="0" borderId="0" xfId="0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26" fillId="14" borderId="0" xfId="0" applyFont="1" applyFill="1" applyAlignment="1">
      <alignment horizontal="center" vertical="center" wrapText="1"/>
    </xf>
    <xf numFmtId="0" fontId="78" fillId="14" borderId="0" xfId="0" applyFont="1" applyFill="1" applyAlignment="1">
      <alignment horizontal="center" vertical="center" wrapText="1"/>
    </xf>
    <xf numFmtId="0" fontId="7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71" fillId="12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0" fontId="71" fillId="0" borderId="0" xfId="0" applyFont="1" applyAlignment="1">
      <alignment horizontal="center" vertical="center"/>
    </xf>
    <xf numFmtId="0" fontId="0" fillId="7" borderId="0" xfId="0" applyFill="1" applyAlignment="1">
      <alignment horizontal="center"/>
    </xf>
    <xf numFmtId="0" fontId="7" fillId="21" borderId="1" xfId="0" applyFont="1" applyFill="1" applyBorder="1" applyAlignment="1">
      <alignment horizontal="left" vertical="center"/>
    </xf>
    <xf numFmtId="0" fontId="51" fillId="21" borderId="1" xfId="0" applyFont="1" applyFill="1" applyBorder="1" applyAlignment="1">
      <alignment horizontal="center" vertical="center"/>
    </xf>
    <xf numFmtId="2" fontId="51" fillId="21" borderId="1" xfId="0" applyNumberFormat="1" applyFont="1" applyFill="1" applyBorder="1" applyAlignment="1">
      <alignment horizontal="center" vertical="center"/>
    </xf>
    <xf numFmtId="0" fontId="45" fillId="0" borderId="0" xfId="0" applyFont="1" applyAlignment="1">
      <alignment horizontal="center"/>
    </xf>
    <xf numFmtId="0" fontId="76" fillId="2" borderId="1" xfId="0" applyFont="1" applyFill="1" applyBorder="1" applyAlignment="1">
      <alignment horizontal="right" vertical="center"/>
    </xf>
    <xf numFmtId="0" fontId="45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24" fillId="0" borderId="0" xfId="0" applyFont="1" applyAlignment="1">
      <alignment horizontal="center" vertical="center" wrapText="1"/>
    </xf>
    <xf numFmtId="0" fontId="8" fillId="12" borderId="0" xfId="0" applyFont="1" applyFill="1" applyAlignment="1">
      <alignment horizontal="left" vertical="top" wrapText="1"/>
    </xf>
    <xf numFmtId="0" fontId="41" fillId="14" borderId="0" xfId="0" applyFont="1" applyFill="1" applyAlignment="1">
      <alignment horizontal="center" vertical="top"/>
    </xf>
    <xf numFmtId="0" fontId="93" fillId="0" borderId="0" xfId="0" applyFont="1" applyAlignment="1">
      <alignment vertical="top"/>
    </xf>
    <xf numFmtId="0" fontId="4" fillId="0" borderId="0" xfId="0" applyFont="1"/>
    <xf numFmtId="0" fontId="4" fillId="0" borderId="9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76" fillId="0" borderId="0" xfId="0" applyFont="1" applyAlignment="1">
      <alignment wrapText="1"/>
    </xf>
    <xf numFmtId="0" fontId="4" fillId="12" borderId="0" xfId="0" applyFont="1" applyFill="1" applyAlignment="1">
      <alignment horizontal="right" vertical="top" wrapText="1"/>
    </xf>
    <xf numFmtId="0" fontId="76" fillId="12" borderId="0" xfId="0" applyFont="1" applyFill="1" applyAlignment="1">
      <alignment wrapText="1"/>
    </xf>
    <xf numFmtId="0" fontId="4" fillId="12" borderId="0" xfId="0" applyFont="1" applyFill="1" applyAlignment="1">
      <alignment horizontal="left" vertical="top" wrapText="1"/>
    </xf>
    <xf numFmtId="0" fontId="4" fillId="12" borderId="0" xfId="0" applyFont="1" applyFill="1"/>
    <xf numFmtId="0" fontId="113" fillId="2" borderId="1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39" fillId="12" borderId="0" xfId="0" applyFont="1" applyFill="1" applyAlignment="1">
      <alignment horizontal="center" vertical="center"/>
    </xf>
    <xf numFmtId="0" fontId="39" fillId="2" borderId="1" xfId="0" applyFont="1" applyFill="1" applyBorder="1" applyAlignment="1">
      <alignment horizontal="center" vertical="center" wrapText="1"/>
    </xf>
    <xf numFmtId="0" fontId="39" fillId="12" borderId="0" xfId="0" applyFont="1" applyFill="1" applyAlignment="1">
      <alignment horizontal="center" vertical="center" wrapText="1"/>
    </xf>
    <xf numFmtId="0" fontId="10" fillId="12" borderId="0" xfId="0" applyFont="1" applyFill="1"/>
    <xf numFmtId="0" fontId="10" fillId="0" borderId="0" xfId="0" applyFont="1"/>
    <xf numFmtId="0" fontId="0" fillId="21" borderId="0" xfId="0" applyFill="1"/>
    <xf numFmtId="0" fontId="118" fillId="21" borderId="0" xfId="0" applyFont="1" applyFill="1" applyAlignment="1">
      <alignment vertical="top"/>
    </xf>
    <xf numFmtId="0" fontId="4" fillId="16" borderId="0" xfId="0" applyFont="1" applyFill="1"/>
    <xf numFmtId="0" fontId="46" fillId="16" borderId="0" xfId="0" applyFont="1" applyFill="1"/>
    <xf numFmtId="0" fontId="120" fillId="16" borderId="0" xfId="0" applyFont="1" applyFill="1"/>
    <xf numFmtId="0" fontId="121" fillId="16" borderId="0" xfId="0" applyFont="1" applyFill="1" applyAlignment="1">
      <alignment horizontal="center" vertical="center"/>
    </xf>
    <xf numFmtId="0" fontId="48" fillId="0" borderId="0" xfId="0" applyFont="1"/>
    <xf numFmtId="0" fontId="0" fillId="25" borderId="0" xfId="0" applyFill="1"/>
    <xf numFmtId="0" fontId="0" fillId="25" borderId="0" xfId="0" applyFill="1" applyAlignment="1">
      <alignment vertical="top"/>
    </xf>
    <xf numFmtId="0" fontId="0" fillId="25" borderId="0" xfId="0" applyFill="1" applyAlignment="1">
      <alignment vertical="center"/>
    </xf>
    <xf numFmtId="0" fontId="45" fillId="25" borderId="0" xfId="0" applyFont="1" applyFill="1"/>
    <xf numFmtId="0" fontId="64" fillId="25" borderId="0" xfId="0" applyFont="1" applyFill="1" applyAlignment="1" applyProtection="1">
      <alignment horizontal="center" vertical="center" wrapText="1"/>
      <protection locked="0"/>
    </xf>
    <xf numFmtId="0" fontId="13" fillId="25" borderId="0" xfId="0" applyFont="1" applyFill="1" applyAlignment="1">
      <alignment horizontal="center" vertical="center"/>
    </xf>
    <xf numFmtId="0" fontId="78" fillId="25" borderId="0" xfId="0" applyFont="1" applyFill="1" applyAlignment="1" applyProtection="1">
      <alignment horizontal="center" vertical="center" wrapText="1"/>
      <protection locked="0"/>
    </xf>
    <xf numFmtId="0" fontId="10" fillId="25" borderId="0" xfId="0" applyFont="1" applyFill="1" applyAlignment="1">
      <alignment horizontal="center" vertical="center"/>
    </xf>
    <xf numFmtId="0" fontId="10" fillId="25" borderId="0" xfId="0" applyFont="1" applyFill="1" applyAlignment="1">
      <alignment horizontal="center"/>
    </xf>
    <xf numFmtId="0" fontId="3" fillId="25" borderId="0" xfId="0" applyFont="1" applyFill="1" applyAlignment="1">
      <alignment vertical="center" wrapText="1"/>
    </xf>
    <xf numFmtId="0" fontId="95" fillId="25" borderId="0" xfId="0" applyFont="1" applyFill="1" applyAlignment="1">
      <alignment vertical="center" wrapText="1"/>
    </xf>
    <xf numFmtId="0" fontId="71" fillId="25" borderId="0" xfId="0" applyFont="1" applyFill="1" applyAlignment="1">
      <alignment horizontal="center" vertical="center" wrapText="1"/>
    </xf>
    <xf numFmtId="0" fontId="56" fillId="25" borderId="0" xfId="0" applyFont="1" applyFill="1" applyAlignment="1">
      <alignment vertical="center" wrapText="1"/>
    </xf>
    <xf numFmtId="0" fontId="86" fillId="25" borderId="0" xfId="0" applyFont="1" applyFill="1" applyAlignment="1" applyProtection="1">
      <alignment horizontal="center" wrapText="1"/>
      <protection locked="0"/>
    </xf>
    <xf numFmtId="0" fontId="80" fillId="25" borderId="0" xfId="0" applyFont="1" applyFill="1" applyAlignment="1">
      <alignment horizontal="center" vertical="center" wrapText="1"/>
    </xf>
    <xf numFmtId="0" fontId="5" fillId="25" borderId="0" xfId="0" applyFont="1" applyFill="1" applyAlignment="1">
      <alignment horizontal="center" vertical="center" wrapText="1"/>
    </xf>
    <xf numFmtId="0" fontId="118" fillId="12" borderId="0" xfId="0" applyFont="1" applyFill="1" applyAlignment="1">
      <alignment vertical="top"/>
    </xf>
    <xf numFmtId="0" fontId="4" fillId="26" borderId="0" xfId="0" applyFont="1" applyFill="1" applyAlignment="1">
      <alignment horizontal="left" vertical="top" wrapText="1"/>
    </xf>
    <xf numFmtId="0" fontId="77" fillId="2" borderId="1" xfId="0" applyFont="1" applyFill="1" applyBorder="1" applyAlignment="1">
      <alignment horizontal="right" vertical="center" wrapText="1"/>
    </xf>
    <xf numFmtId="0" fontId="31" fillId="2" borderId="0" xfId="0" applyFont="1" applyFill="1" applyAlignment="1">
      <alignment horizontal="right" vertical="center"/>
    </xf>
    <xf numFmtId="0" fontId="94" fillId="12" borderId="0" xfId="0" applyFont="1" applyFill="1" applyAlignment="1" applyProtection="1">
      <alignment horizontal="center" vertical="center"/>
      <protection locked="0"/>
    </xf>
    <xf numFmtId="0" fontId="97" fillId="0" borderId="1" xfId="0" applyFont="1" applyBorder="1" applyAlignment="1" applyProtection="1">
      <alignment horizontal="left" vertical="center"/>
      <protection locked="0"/>
    </xf>
    <xf numFmtId="0" fontId="8" fillId="12" borderId="1" xfId="0" applyFont="1" applyFill="1" applyBorder="1" applyProtection="1">
      <protection locked="0"/>
    </xf>
    <xf numFmtId="0" fontId="8" fillId="0" borderId="1" xfId="0" applyFont="1" applyBorder="1" applyProtection="1">
      <protection locked="0"/>
    </xf>
    <xf numFmtId="0" fontId="83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 applyProtection="1">
      <alignment horizontal="center" vertical="center"/>
      <protection locked="0"/>
    </xf>
    <xf numFmtId="0" fontId="39" fillId="2" borderId="3" xfId="0" applyFont="1" applyFill="1" applyBorder="1" applyAlignment="1" applyProtection="1">
      <alignment horizontal="center" vertical="center"/>
      <protection locked="0"/>
    </xf>
    <xf numFmtId="0" fontId="8" fillId="12" borderId="1" xfId="0" applyFont="1" applyFill="1" applyBorder="1" applyAlignment="1" applyProtection="1">
      <alignment horizontal="center"/>
      <protection locked="0"/>
    </xf>
    <xf numFmtId="49" fontId="8" fillId="12" borderId="1" xfId="0" applyNumberFormat="1" applyFont="1" applyFill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12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top"/>
    </xf>
    <xf numFmtId="0" fontId="8" fillId="12" borderId="1" xfId="0" applyFont="1" applyFill="1" applyBorder="1" applyAlignment="1" applyProtection="1">
      <alignment vertical="top"/>
      <protection locked="0"/>
    </xf>
    <xf numFmtId="0" fontId="8" fillId="12" borderId="1" xfId="0" applyFont="1" applyFill="1" applyBorder="1" applyAlignment="1" applyProtection="1">
      <alignment vertical="top" wrapText="1"/>
      <protection locked="0"/>
    </xf>
    <xf numFmtId="0" fontId="10" fillId="0" borderId="1" xfId="0" applyFont="1" applyBorder="1" applyAlignment="1">
      <alignment horizontal="center" vertical="top"/>
    </xf>
    <xf numFmtId="0" fontId="8" fillId="0" borderId="1" xfId="0" applyFont="1" applyBorder="1" applyAlignment="1" applyProtection="1">
      <alignment vertical="top"/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5" fillId="26" borderId="0" xfId="0" applyFont="1" applyFill="1" applyAlignment="1">
      <alignment horizontal="left" vertical="top" wrapText="1"/>
    </xf>
    <xf numFmtId="0" fontId="115" fillId="26" borderId="0" xfId="1" applyFont="1" applyFill="1" applyAlignment="1" applyProtection="1">
      <alignment horizontal="left" vertical="top" wrapText="1"/>
    </xf>
    <xf numFmtId="0" fontId="105" fillId="0" borderId="0" xfId="0" applyFont="1" applyAlignment="1">
      <alignment horizontal="center" vertical="center" wrapText="1"/>
    </xf>
    <xf numFmtId="0" fontId="52" fillId="0" borderId="0" xfId="0" applyFont="1" applyAlignment="1">
      <alignment horizontal="left" vertical="top" wrapText="1"/>
    </xf>
    <xf numFmtId="0" fontId="110" fillId="0" borderId="0" xfId="0" applyFont="1" applyAlignment="1">
      <alignment horizontal="center" vertical="center" wrapText="1"/>
    </xf>
    <xf numFmtId="0" fontId="99" fillId="0" borderId="0" xfId="0" applyFont="1" applyAlignment="1">
      <alignment horizontal="center" vertical="center" wrapText="1"/>
    </xf>
    <xf numFmtId="0" fontId="93" fillId="41" borderId="0" xfId="0" applyFont="1" applyFill="1" applyAlignment="1">
      <alignment horizontal="center" vertical="top"/>
    </xf>
    <xf numFmtId="0" fontId="100" fillId="2" borderId="0" xfId="0" applyFont="1" applyFill="1" applyAlignment="1" applyProtection="1">
      <alignment horizontal="left" vertical="center" wrapText="1"/>
      <protection locked="0"/>
    </xf>
    <xf numFmtId="0" fontId="40" fillId="14" borderId="0" xfId="0" applyFont="1" applyFill="1" applyAlignment="1" applyProtection="1">
      <alignment vertical="center" wrapText="1"/>
      <protection locked="0"/>
    </xf>
    <xf numFmtId="0" fontId="71" fillId="15" borderId="8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8" fillId="12" borderId="0" xfId="0" applyFont="1" applyFill="1" applyAlignment="1">
      <alignment horizontal="left" vertical="center"/>
    </xf>
    <xf numFmtId="0" fontId="101" fillId="12" borderId="0" xfId="0" applyFont="1" applyFill="1" applyAlignment="1">
      <alignment horizontal="center" vertical="center" wrapText="1"/>
    </xf>
    <xf numFmtId="0" fontId="26" fillId="12" borderId="0" xfId="0" applyFont="1" applyFill="1" applyAlignment="1">
      <alignment horizontal="center" vertical="center" wrapText="1"/>
    </xf>
    <xf numFmtId="0" fontId="5" fillId="12" borderId="0" xfId="0" applyFont="1" applyFill="1" applyAlignment="1">
      <alignment horizontal="center" vertical="center"/>
    </xf>
    <xf numFmtId="0" fontId="73" fillId="12" borderId="0" xfId="0" applyFont="1" applyFill="1" applyAlignment="1">
      <alignment horizontal="left" vertical="center"/>
    </xf>
    <xf numFmtId="0" fontId="22" fillId="14" borderId="0" xfId="0" applyFont="1" applyFill="1" applyAlignment="1">
      <alignment horizontal="center" vertical="center" wrapText="1"/>
    </xf>
    <xf numFmtId="0" fontId="24" fillId="14" borderId="0" xfId="0" applyFont="1" applyFill="1" applyAlignment="1">
      <alignment horizontal="center" vertical="center" wrapText="1"/>
    </xf>
    <xf numFmtId="0" fontId="87" fillId="12" borderId="0" xfId="0" applyFont="1" applyFill="1" applyAlignment="1">
      <alignment horizontal="left" vertical="center"/>
    </xf>
    <xf numFmtId="0" fontId="99" fillId="12" borderId="0" xfId="0" applyFont="1" applyFill="1" applyAlignment="1">
      <alignment horizontal="center" vertical="center" wrapText="1"/>
    </xf>
    <xf numFmtId="0" fontId="5" fillId="12" borderId="0" xfId="0" applyFont="1" applyFill="1" applyAlignment="1">
      <alignment horizontal="left" vertical="center" wrapText="1"/>
    </xf>
    <xf numFmtId="0" fontId="33" fillId="0" borderId="7" xfId="0" applyFont="1" applyBorder="1" applyAlignment="1" applyProtection="1">
      <alignment horizontal="center" vertical="top" wrapText="1"/>
      <protection locked="0"/>
    </xf>
    <xf numFmtId="0" fontId="41" fillId="24" borderId="2" xfId="0" applyFont="1" applyFill="1" applyBorder="1" applyAlignment="1" applyProtection="1">
      <alignment horizontal="center" vertical="top"/>
      <protection locked="0"/>
    </xf>
    <xf numFmtId="0" fontId="41" fillId="24" borderId="6" xfId="0" applyFont="1" applyFill="1" applyBorder="1" applyAlignment="1" applyProtection="1">
      <alignment horizontal="center" vertical="top"/>
      <protection locked="0"/>
    </xf>
    <xf numFmtId="0" fontId="41" fillId="24" borderId="3" xfId="0" applyFont="1" applyFill="1" applyBorder="1" applyAlignment="1" applyProtection="1">
      <alignment horizontal="center" vertical="top"/>
      <protection locked="0"/>
    </xf>
    <xf numFmtId="0" fontId="22" fillId="23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/>
    </xf>
    <xf numFmtId="49" fontId="16" fillId="13" borderId="2" xfId="0" applyNumberFormat="1" applyFont="1" applyFill="1" applyBorder="1" applyAlignment="1">
      <alignment horizontal="center"/>
    </xf>
    <xf numFmtId="49" fontId="16" fillId="13" borderId="3" xfId="0" applyNumberFormat="1" applyFont="1" applyFill="1" applyBorder="1" applyAlignment="1">
      <alignment horizontal="center"/>
    </xf>
    <xf numFmtId="49" fontId="10" fillId="12" borderId="1" xfId="0" applyNumberFormat="1" applyFont="1" applyFill="1" applyBorder="1" applyAlignment="1">
      <alignment horizontal="center" vertical="center"/>
    </xf>
    <xf numFmtId="49" fontId="10" fillId="12" borderId="2" xfId="0" applyNumberFormat="1" applyFont="1" applyFill="1" applyBorder="1" applyAlignment="1">
      <alignment horizontal="center"/>
    </xf>
    <xf numFmtId="49" fontId="10" fillId="12" borderId="3" xfId="0" applyNumberFormat="1" applyFont="1" applyFill="1" applyBorder="1" applyAlignment="1">
      <alignment horizontal="center"/>
    </xf>
    <xf numFmtId="0" fontId="118" fillId="12" borderId="0" xfId="0" applyFont="1" applyFill="1" applyAlignment="1">
      <alignment horizontal="left" vertical="top" wrapText="1"/>
    </xf>
    <xf numFmtId="0" fontId="118" fillId="12" borderId="0" xfId="0" applyFont="1" applyFill="1" applyAlignment="1">
      <alignment horizontal="left" vertical="top"/>
    </xf>
    <xf numFmtId="0" fontId="8" fillId="12" borderId="0" xfId="0" applyFont="1" applyFill="1" applyAlignment="1">
      <alignment horizontal="left" vertical="center" wrapText="1"/>
    </xf>
    <xf numFmtId="0" fontId="8" fillId="12" borderId="0" xfId="0" applyFont="1" applyFill="1" applyAlignment="1">
      <alignment horizontal="left" vertical="top" wrapText="1"/>
    </xf>
    <xf numFmtId="0" fontId="52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center" wrapText="1"/>
    </xf>
    <xf numFmtId="0" fontId="99" fillId="0" borderId="0" xfId="0" applyFont="1" applyAlignment="1">
      <alignment horizontal="center" vertical="center" wrapText="1"/>
    </xf>
    <xf numFmtId="0" fontId="110" fillId="0" borderId="13" xfId="0" applyFont="1" applyBorder="1" applyAlignment="1">
      <alignment horizontal="center" vertical="center" wrapText="1"/>
    </xf>
    <xf numFmtId="0" fontId="110" fillId="0" borderId="0" xfId="0" applyFont="1" applyAlignment="1">
      <alignment horizontal="center" vertical="center" wrapText="1"/>
    </xf>
    <xf numFmtId="0" fontId="73" fillId="26" borderId="13" xfId="0" applyFont="1" applyFill="1" applyBorder="1" applyAlignment="1">
      <alignment horizontal="left" vertical="center"/>
    </xf>
    <xf numFmtId="0" fontId="73" fillId="26" borderId="0" xfId="0" applyFont="1" applyFill="1" applyAlignment="1">
      <alignment horizontal="left" vertical="center"/>
    </xf>
    <xf numFmtId="0" fontId="105" fillId="0" borderId="0" xfId="0" applyFont="1" applyAlignment="1">
      <alignment horizontal="center" vertical="center" wrapText="1"/>
    </xf>
    <xf numFmtId="0" fontId="87" fillId="26" borderId="1" xfId="0" applyFont="1" applyFill="1" applyBorder="1" applyAlignment="1">
      <alignment horizontal="left" vertical="center"/>
    </xf>
    <xf numFmtId="0" fontId="87" fillId="26" borderId="2" xfId="0" applyFont="1" applyFill="1" applyBorder="1" applyAlignment="1">
      <alignment horizontal="left" vertical="center"/>
    </xf>
    <xf numFmtId="0" fontId="107" fillId="0" borderId="13" xfId="0" applyFont="1" applyBorder="1" applyAlignment="1">
      <alignment horizontal="center" vertical="center" wrapText="1"/>
    </xf>
    <xf numFmtId="0" fontId="107" fillId="0" borderId="0" xfId="0" applyFont="1" applyAlignment="1">
      <alignment horizontal="center" vertical="center" wrapText="1"/>
    </xf>
    <xf numFmtId="0" fontId="98" fillId="24" borderId="17" xfId="0" applyFont="1" applyFill="1" applyBorder="1" applyAlignment="1">
      <alignment horizontal="center" vertical="center" wrapText="1"/>
    </xf>
    <xf numFmtId="0" fontId="98" fillId="24" borderId="7" xfId="0" applyFont="1" applyFill="1" applyBorder="1" applyAlignment="1">
      <alignment horizontal="center" vertical="center"/>
    </xf>
    <xf numFmtId="0" fontId="41" fillId="24" borderId="13" xfId="0" applyFont="1" applyFill="1" applyBorder="1" applyAlignment="1">
      <alignment horizontal="left" vertical="center"/>
    </xf>
    <xf numFmtId="0" fontId="41" fillId="24" borderId="0" xfId="0" applyFont="1" applyFill="1" applyAlignment="1">
      <alignment horizontal="left" vertical="center"/>
    </xf>
    <xf numFmtId="0" fontId="100" fillId="2" borderId="1" xfId="0" applyFont="1" applyFill="1" applyBorder="1" applyAlignment="1" applyProtection="1">
      <alignment horizontal="left" vertical="center" wrapText="1"/>
      <protection locked="0"/>
    </xf>
    <xf numFmtId="0" fontId="41" fillId="24" borderId="12" xfId="0" applyFont="1" applyFill="1" applyBorder="1" applyAlignment="1">
      <alignment horizontal="center" vertical="center"/>
    </xf>
    <xf numFmtId="0" fontId="41" fillId="24" borderId="10" xfId="0" applyFont="1" applyFill="1" applyBorder="1" applyAlignment="1">
      <alignment horizontal="center" vertical="center"/>
    </xf>
    <xf numFmtId="0" fontId="93" fillId="41" borderId="0" xfId="0" applyFont="1" applyFill="1" applyAlignment="1">
      <alignment horizontal="center" vertical="top"/>
    </xf>
    <xf numFmtId="0" fontId="93" fillId="41" borderId="14" xfId="0" applyFont="1" applyFill="1" applyBorder="1" applyAlignment="1">
      <alignment horizontal="center" vertical="top"/>
    </xf>
    <xf numFmtId="0" fontId="5" fillId="26" borderId="0" xfId="0" applyFont="1" applyFill="1" applyAlignment="1">
      <alignment horizontal="left" vertical="top" wrapText="1"/>
    </xf>
    <xf numFmtId="0" fontId="115" fillId="26" borderId="0" xfId="1" applyFont="1" applyFill="1" applyAlignment="1" applyProtection="1">
      <alignment horizontal="left" vertical="top" wrapText="1"/>
    </xf>
    <xf numFmtId="0" fontId="4" fillId="26" borderId="0" xfId="0" applyFont="1" applyFill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41" fillId="41" borderId="0" xfId="0" applyFont="1" applyFill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13" fillId="16" borderId="8" xfId="0" applyFont="1" applyFill="1" applyBorder="1" applyAlignment="1">
      <alignment horizontal="center" vertical="center"/>
    </xf>
    <xf numFmtId="0" fontId="113" fillId="16" borderId="1" xfId="0" applyFont="1" applyFill="1" applyBorder="1" applyAlignment="1">
      <alignment horizontal="center" vertical="center"/>
    </xf>
    <xf numFmtId="0" fontId="113" fillId="16" borderId="1" xfId="0" applyFont="1" applyFill="1" applyBorder="1" applyAlignment="1">
      <alignment horizontal="center" vertical="center" wrapText="1"/>
    </xf>
    <xf numFmtId="0" fontId="39" fillId="12" borderId="9" xfId="0" applyFont="1" applyFill="1" applyBorder="1" applyAlignment="1">
      <alignment horizontal="center" vertical="center"/>
    </xf>
    <xf numFmtId="0" fontId="122" fillId="47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 wrapText="1"/>
    </xf>
    <xf numFmtId="0" fontId="7" fillId="16" borderId="13" xfId="0" applyFont="1" applyFill="1" applyBorder="1" applyAlignment="1">
      <alignment horizontal="center"/>
    </xf>
    <xf numFmtId="0" fontId="7" fillId="16" borderId="0" xfId="0" applyFont="1" applyFill="1" applyAlignment="1">
      <alignment horizontal="center"/>
    </xf>
    <xf numFmtId="0" fontId="105" fillId="0" borderId="12" xfId="0" applyFont="1" applyBorder="1" applyAlignment="1">
      <alignment horizontal="center" vertical="center" wrapText="1"/>
    </xf>
    <xf numFmtId="0" fontId="105" fillId="0" borderId="9" xfId="0" applyFont="1" applyBorder="1" applyAlignment="1">
      <alignment horizontal="center" vertical="center" wrapText="1"/>
    </xf>
    <xf numFmtId="0" fontId="108" fillId="0" borderId="12" xfId="0" applyFont="1" applyBorder="1" applyAlignment="1">
      <alignment horizontal="center" vertical="center" wrapText="1"/>
    </xf>
    <xf numFmtId="0" fontId="108" fillId="0" borderId="9" xfId="0" applyFont="1" applyBorder="1" applyAlignment="1">
      <alignment horizontal="center" vertical="center" wrapText="1"/>
    </xf>
    <xf numFmtId="0" fontId="87" fillId="26" borderId="13" xfId="0" applyFont="1" applyFill="1" applyBorder="1" applyAlignment="1">
      <alignment horizontal="center" vertical="center"/>
    </xf>
    <xf numFmtId="0" fontId="87" fillId="26" borderId="0" xfId="0" applyFont="1" applyFill="1" applyAlignment="1">
      <alignment horizontal="center" vertical="center"/>
    </xf>
    <xf numFmtId="0" fontId="7" fillId="0" borderId="0" xfId="0" applyFont="1" applyAlignment="1" applyProtection="1">
      <alignment horizontal="center" vertical="center" wrapText="1"/>
      <protection locked="0"/>
    </xf>
    <xf numFmtId="0" fontId="10" fillId="14" borderId="13" xfId="0" applyFont="1" applyFill="1" applyBorder="1" applyAlignment="1">
      <alignment horizontal="left" vertical="center" wrapText="1"/>
    </xf>
    <xf numFmtId="0" fontId="10" fillId="14" borderId="0" xfId="0" applyFont="1" applyFill="1" applyAlignment="1">
      <alignment horizontal="left" vertical="center" wrapText="1"/>
    </xf>
    <xf numFmtId="0" fontId="27" fillId="14" borderId="0" xfId="0" applyFont="1" applyFill="1" applyAlignment="1" applyProtection="1">
      <alignment horizontal="left" vertical="top" wrapText="1"/>
      <protection locked="0"/>
    </xf>
    <xf numFmtId="0" fontId="10" fillId="17" borderId="0" xfId="0" applyFont="1" applyFill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94" fillId="0" borderId="0" xfId="0" applyFont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73" fillId="0" borderId="0" xfId="0" applyFont="1" applyAlignment="1">
      <alignment horizontal="left" vertical="center" wrapText="1"/>
    </xf>
    <xf numFmtId="0" fontId="93" fillId="50" borderId="9" xfId="0" applyFont="1" applyFill="1" applyBorder="1" applyAlignment="1">
      <alignment horizontal="center" vertical="top"/>
    </xf>
    <xf numFmtId="0" fontId="93" fillId="50" borderId="10" xfId="0" applyFont="1" applyFill="1" applyBorder="1" applyAlignment="1">
      <alignment horizontal="center" vertical="top"/>
    </xf>
    <xf numFmtId="0" fontId="99" fillId="0" borderId="1" xfId="0" applyFont="1" applyBorder="1" applyAlignment="1">
      <alignment horizontal="center" vertical="center" wrapText="1"/>
    </xf>
    <xf numFmtId="0" fontId="110" fillId="0" borderId="1" xfId="0" applyFont="1" applyBorder="1" applyAlignment="1">
      <alignment horizontal="center" vertical="center" wrapText="1"/>
    </xf>
    <xf numFmtId="0" fontId="41" fillId="41" borderId="13" xfId="0" applyFont="1" applyFill="1" applyBorder="1" applyAlignment="1" applyProtection="1">
      <alignment vertical="top"/>
      <protection locked="0"/>
    </xf>
    <xf numFmtId="0" fontId="41" fillId="41" borderId="0" xfId="0" applyFont="1" applyFill="1" applyAlignment="1" applyProtection="1">
      <alignment vertical="top"/>
      <protection locked="0"/>
    </xf>
    <xf numFmtId="0" fontId="94" fillId="0" borderId="0" xfId="0" applyFont="1" applyAlignment="1">
      <alignment horizontal="left" vertical="center" wrapText="1"/>
    </xf>
    <xf numFmtId="0" fontId="3" fillId="37" borderId="1" xfId="0" applyFont="1" applyFill="1" applyBorder="1" applyAlignment="1" applyProtection="1">
      <alignment horizontal="center" vertical="center"/>
      <protection locked="0"/>
    </xf>
    <xf numFmtId="0" fontId="7" fillId="7" borderId="13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61" fillId="11" borderId="13" xfId="0" applyFont="1" applyFill="1" applyBorder="1" applyAlignment="1">
      <alignment horizontal="center" vertical="center" wrapText="1"/>
    </xf>
    <xf numFmtId="0" fontId="61" fillId="11" borderId="0" xfId="0" applyFont="1" applyFill="1" applyAlignment="1">
      <alignment horizontal="center" vertical="center" wrapText="1"/>
    </xf>
    <xf numFmtId="0" fontId="3" fillId="19" borderId="1" xfId="0" applyFont="1" applyFill="1" applyBorder="1" applyAlignment="1" applyProtection="1">
      <alignment horizontal="center" vertical="center"/>
      <protection locked="0"/>
    </xf>
    <xf numFmtId="0" fontId="26" fillId="14" borderId="12" xfId="0" applyFont="1" applyFill="1" applyBorder="1" applyAlignment="1" applyProtection="1">
      <alignment horizontal="left" vertical="top" wrapText="1"/>
      <protection locked="0"/>
    </xf>
    <xf numFmtId="0" fontId="26" fillId="14" borderId="13" xfId="0" applyFont="1" applyFill="1" applyBorder="1" applyAlignment="1" applyProtection="1">
      <alignment horizontal="left" vertical="top" wrapText="1"/>
      <protection locked="0"/>
    </xf>
    <xf numFmtId="0" fontId="26" fillId="14" borderId="17" xfId="0" applyFont="1" applyFill="1" applyBorder="1" applyAlignment="1" applyProtection="1">
      <alignment horizontal="left" vertical="top" wrapText="1"/>
      <protection locked="0"/>
    </xf>
    <xf numFmtId="0" fontId="41" fillId="41" borderId="12" xfId="0" applyFont="1" applyFill="1" applyBorder="1" applyAlignment="1" applyProtection="1">
      <alignment horizontal="left" vertical="top" wrapText="1"/>
      <protection locked="0"/>
    </xf>
    <xf numFmtId="0" fontId="41" fillId="41" borderId="9" xfId="0" applyFont="1" applyFill="1" applyBorder="1" applyAlignment="1" applyProtection="1">
      <alignment horizontal="left" vertical="top" wrapText="1"/>
      <protection locked="0"/>
    </xf>
    <xf numFmtId="0" fontId="41" fillId="41" borderId="10" xfId="0" applyFont="1" applyFill="1" applyBorder="1" applyAlignment="1" applyProtection="1">
      <alignment horizontal="left" vertical="top" wrapText="1"/>
      <protection locked="0"/>
    </xf>
    <xf numFmtId="0" fontId="55" fillId="7" borderId="2" xfId="0" applyFont="1" applyFill="1" applyBorder="1" applyAlignment="1" applyProtection="1">
      <alignment horizontal="center" vertical="top"/>
      <protection locked="0"/>
    </xf>
    <xf numFmtId="0" fontId="55" fillId="7" borderId="6" xfId="0" applyFont="1" applyFill="1" applyBorder="1" applyAlignment="1" applyProtection="1">
      <alignment horizontal="center" vertical="top"/>
      <protection locked="0"/>
    </xf>
    <xf numFmtId="0" fontId="55" fillId="7" borderId="3" xfId="0" applyFont="1" applyFill="1" applyBorder="1" applyAlignment="1" applyProtection="1">
      <alignment horizontal="center" vertical="top"/>
      <protection locked="0"/>
    </xf>
    <xf numFmtId="0" fontId="5" fillId="28" borderId="1" xfId="0" applyFont="1" applyFill="1" applyBorder="1" applyAlignment="1" applyProtection="1">
      <alignment horizontal="left" vertical="top"/>
      <protection locked="0"/>
    </xf>
    <xf numFmtId="0" fontId="3" fillId="36" borderId="1" xfId="0" applyFont="1" applyFill="1" applyBorder="1" applyAlignment="1" applyProtection="1">
      <alignment horizontal="center" vertical="center"/>
      <protection locked="0"/>
    </xf>
    <xf numFmtId="0" fontId="3" fillId="33" borderId="1" xfId="0" applyFont="1" applyFill="1" applyBorder="1" applyAlignment="1" applyProtection="1">
      <alignment horizontal="center" vertical="center"/>
      <protection locked="0"/>
    </xf>
    <xf numFmtId="0" fontId="52" fillId="7" borderId="2" xfId="0" applyFont="1" applyFill="1" applyBorder="1" applyAlignment="1">
      <alignment horizontal="left" vertical="center"/>
    </xf>
    <xf numFmtId="0" fontId="52" fillId="7" borderId="6" xfId="0" applyFont="1" applyFill="1" applyBorder="1" applyAlignment="1">
      <alignment horizontal="left" vertical="center"/>
    </xf>
    <xf numFmtId="0" fontId="52" fillId="7" borderId="3" xfId="0" applyFont="1" applyFill="1" applyBorder="1" applyAlignment="1">
      <alignment horizontal="left" vertical="center"/>
    </xf>
    <xf numFmtId="0" fontId="3" fillId="38" borderId="1" xfId="0" applyFont="1" applyFill="1" applyBorder="1" applyAlignment="1" applyProtection="1">
      <alignment horizontal="center" vertical="center"/>
      <protection locked="0"/>
    </xf>
    <xf numFmtId="0" fontId="68" fillId="5" borderId="1" xfId="0" applyFont="1" applyFill="1" applyBorder="1" applyAlignment="1">
      <alignment horizontal="left" vertical="center"/>
    </xf>
    <xf numFmtId="0" fontId="3" fillId="28" borderId="1" xfId="0" applyFont="1" applyFill="1" applyBorder="1" applyAlignment="1" applyProtection="1">
      <alignment horizontal="left" vertical="top"/>
      <protection locked="0"/>
    </xf>
    <xf numFmtId="0" fontId="5" fillId="15" borderId="1" xfId="0" applyFont="1" applyFill="1" applyBorder="1" applyAlignment="1" applyProtection="1">
      <alignment horizontal="left" vertical="top"/>
      <protection locked="0"/>
    </xf>
    <xf numFmtId="0" fontId="3" fillId="15" borderId="1" xfId="0" applyFont="1" applyFill="1" applyBorder="1" applyAlignment="1" applyProtection="1">
      <alignment horizontal="left" vertical="top"/>
      <protection locked="0"/>
    </xf>
    <xf numFmtId="0" fontId="62" fillId="23" borderId="1" xfId="0" applyFont="1" applyFill="1" applyBorder="1" applyAlignment="1" applyProtection="1">
      <alignment horizontal="center" vertical="center" wrapText="1"/>
      <protection locked="0"/>
    </xf>
    <xf numFmtId="0" fontId="71" fillId="0" borderId="1" xfId="0" applyFont="1" applyBorder="1" applyAlignment="1">
      <alignment horizontal="center" vertical="center" wrapText="1"/>
    </xf>
    <xf numFmtId="0" fontId="55" fillId="30" borderId="2" xfId="0" applyFont="1" applyFill="1" applyBorder="1" applyAlignment="1" applyProtection="1">
      <alignment horizontal="center" vertical="top"/>
      <protection locked="0"/>
    </xf>
    <xf numFmtId="0" fontId="55" fillId="30" borderId="6" xfId="0" applyFont="1" applyFill="1" applyBorder="1" applyAlignment="1" applyProtection="1">
      <alignment horizontal="center" vertical="top"/>
      <protection locked="0"/>
    </xf>
    <xf numFmtId="0" fontId="55" fillId="30" borderId="3" xfId="0" applyFont="1" applyFill="1" applyBorder="1" applyAlignment="1" applyProtection="1">
      <alignment horizontal="center" vertical="top"/>
      <protection locked="0"/>
    </xf>
    <xf numFmtId="0" fontId="62" fillId="23" borderId="2" xfId="0" applyFont="1" applyFill="1" applyBorder="1" applyAlignment="1" applyProtection="1">
      <alignment horizontal="center" vertical="top" wrapText="1"/>
      <protection locked="0"/>
    </xf>
    <xf numFmtId="0" fontId="62" fillId="23" borderId="3" xfId="0" applyFont="1" applyFill="1" applyBorder="1" applyAlignment="1" applyProtection="1">
      <alignment horizontal="center" vertical="top" wrapText="1"/>
      <protection locked="0"/>
    </xf>
    <xf numFmtId="0" fontId="59" fillId="42" borderId="1" xfId="0" applyFont="1" applyFill="1" applyBorder="1" applyAlignment="1" applyProtection="1">
      <alignment horizontal="center" vertical="top"/>
      <protection locked="0"/>
    </xf>
    <xf numFmtId="0" fontId="46" fillId="8" borderId="2" xfId="0" applyFont="1" applyFill="1" applyBorder="1" applyAlignment="1">
      <alignment horizontal="center" vertical="center"/>
    </xf>
    <xf numFmtId="0" fontId="46" fillId="8" borderId="6" xfId="0" applyFont="1" applyFill="1" applyBorder="1" applyAlignment="1">
      <alignment horizontal="center" vertical="center"/>
    </xf>
    <xf numFmtId="0" fontId="46" fillId="8" borderId="3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46" fillId="43" borderId="2" xfId="0" applyFont="1" applyFill="1" applyBorder="1" applyAlignment="1">
      <alignment horizontal="center" vertical="center" wrapText="1"/>
    </xf>
    <xf numFmtId="0" fontId="46" fillId="43" borderId="6" xfId="0" applyFont="1" applyFill="1" applyBorder="1" applyAlignment="1">
      <alignment horizontal="center" vertical="center" wrapText="1"/>
    </xf>
    <xf numFmtId="0" fontId="46" fillId="43" borderId="3" xfId="0" applyFont="1" applyFill="1" applyBorder="1" applyAlignment="1">
      <alignment horizontal="center" vertical="center" wrapText="1"/>
    </xf>
    <xf numFmtId="0" fontId="55" fillId="45" borderId="2" xfId="0" applyFont="1" applyFill="1" applyBorder="1" applyAlignment="1" applyProtection="1">
      <alignment horizontal="center" vertical="top"/>
      <protection locked="0"/>
    </xf>
    <xf numFmtId="0" fontId="55" fillId="45" borderId="6" xfId="0" applyFont="1" applyFill="1" applyBorder="1" applyAlignment="1" applyProtection="1">
      <alignment horizontal="center" vertical="top"/>
      <protection locked="0"/>
    </xf>
    <xf numFmtId="0" fontId="55" fillId="45" borderId="3" xfId="0" applyFont="1" applyFill="1" applyBorder="1" applyAlignment="1" applyProtection="1">
      <alignment horizontal="center" vertical="top"/>
      <protection locked="0"/>
    </xf>
    <xf numFmtId="0" fontId="2" fillId="3" borderId="2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52" fillId="7" borderId="1" xfId="0" applyFont="1" applyFill="1" applyBorder="1" applyAlignment="1">
      <alignment horizontal="center" vertical="center"/>
    </xf>
    <xf numFmtId="0" fontId="41" fillId="35" borderId="2" xfId="0" applyFont="1" applyFill="1" applyBorder="1" applyAlignment="1">
      <alignment horizontal="center" vertical="center"/>
    </xf>
    <xf numFmtId="0" fontId="41" fillId="35" borderId="6" xfId="0" applyFont="1" applyFill="1" applyBorder="1" applyAlignment="1">
      <alignment horizontal="center" vertical="center"/>
    </xf>
    <xf numFmtId="0" fontId="41" fillId="35" borderId="3" xfId="0" applyFont="1" applyFill="1" applyBorder="1" applyAlignment="1">
      <alignment horizontal="center" vertical="center"/>
    </xf>
    <xf numFmtId="0" fontId="68" fillId="5" borderId="1" xfId="0" applyFont="1" applyFill="1" applyBorder="1" applyAlignment="1">
      <alignment horizontal="center" vertical="center"/>
    </xf>
    <xf numFmtId="0" fontId="52" fillId="33" borderId="13" xfId="0" applyFont="1" applyFill="1" applyBorder="1" applyAlignment="1" applyProtection="1">
      <alignment horizontal="left" vertical="top"/>
      <protection locked="0"/>
    </xf>
    <xf numFmtId="0" fontId="52" fillId="33" borderId="0" xfId="0" applyFont="1" applyFill="1" applyAlignment="1" applyProtection="1">
      <alignment horizontal="left" vertical="top"/>
      <protection locked="0"/>
    </xf>
    <xf numFmtId="0" fontId="2" fillId="45" borderId="2" xfId="0" applyFont="1" applyFill="1" applyBorder="1" applyAlignment="1">
      <alignment horizontal="center" vertical="center" wrapText="1"/>
    </xf>
    <xf numFmtId="0" fontId="2" fillId="45" borderId="6" xfId="0" applyFont="1" applyFill="1" applyBorder="1" applyAlignment="1">
      <alignment horizontal="center" vertical="center" wrapText="1"/>
    </xf>
    <xf numFmtId="0" fontId="2" fillId="45" borderId="3" xfId="0" applyFont="1" applyFill="1" applyBorder="1" applyAlignment="1">
      <alignment horizontal="center" vertical="center" wrapText="1"/>
    </xf>
    <xf numFmtId="0" fontId="55" fillId="44" borderId="2" xfId="0" applyFont="1" applyFill="1" applyBorder="1" applyAlignment="1" applyProtection="1">
      <alignment horizontal="center" vertical="top"/>
      <protection locked="0"/>
    </xf>
    <xf numFmtId="0" fontId="55" fillId="44" borderId="6" xfId="0" applyFont="1" applyFill="1" applyBorder="1" applyAlignment="1" applyProtection="1">
      <alignment horizontal="center" vertical="top"/>
      <protection locked="0"/>
    </xf>
    <xf numFmtId="0" fontId="55" fillId="44" borderId="3" xfId="0" applyFont="1" applyFill="1" applyBorder="1" applyAlignment="1" applyProtection="1">
      <alignment horizontal="center" vertical="top"/>
      <protection locked="0"/>
    </xf>
    <xf numFmtId="0" fontId="61" fillId="11" borderId="2" xfId="0" applyFont="1" applyFill="1" applyBorder="1" applyAlignment="1">
      <alignment horizontal="center" vertical="center" wrapText="1"/>
    </xf>
    <xf numFmtId="0" fontId="61" fillId="11" borderId="3" xfId="0" applyFont="1" applyFill="1" applyBorder="1" applyAlignment="1">
      <alignment horizontal="center" vertical="center" wrapText="1"/>
    </xf>
    <xf numFmtId="0" fontId="47" fillId="4" borderId="2" xfId="0" applyFont="1" applyFill="1" applyBorder="1" applyAlignment="1">
      <alignment horizontal="left" vertical="center"/>
    </xf>
    <xf numFmtId="0" fontId="47" fillId="4" borderId="6" xfId="0" applyFont="1" applyFill="1" applyBorder="1" applyAlignment="1">
      <alignment horizontal="left" vertical="center"/>
    </xf>
    <xf numFmtId="0" fontId="47" fillId="4" borderId="3" xfId="0" applyFont="1" applyFill="1" applyBorder="1" applyAlignment="1">
      <alignment horizontal="left" vertical="center"/>
    </xf>
    <xf numFmtId="0" fontId="0" fillId="12" borderId="14" xfId="0" applyFill="1" applyBorder="1" applyAlignment="1">
      <alignment horizontal="left" vertical="top" wrapText="1"/>
    </xf>
    <xf numFmtId="0" fontId="0" fillId="12" borderId="14" xfId="0" applyFill="1" applyBorder="1" applyAlignment="1">
      <alignment horizontal="left" vertical="top"/>
    </xf>
    <xf numFmtId="0" fontId="0" fillId="12" borderId="18" xfId="0" applyFill="1" applyBorder="1" applyAlignment="1">
      <alignment horizontal="left" vertical="top"/>
    </xf>
    <xf numFmtId="0" fontId="41" fillId="35" borderId="2" xfId="0" applyFont="1" applyFill="1" applyBorder="1" applyAlignment="1">
      <alignment horizontal="left" vertical="center"/>
    </xf>
    <xf numFmtId="0" fontId="41" fillId="35" borderId="6" xfId="0" applyFont="1" applyFill="1" applyBorder="1" applyAlignment="1">
      <alignment horizontal="left" vertical="center"/>
    </xf>
    <xf numFmtId="0" fontId="41" fillId="35" borderId="3" xfId="0" applyFont="1" applyFill="1" applyBorder="1" applyAlignment="1">
      <alignment horizontal="left" vertical="center"/>
    </xf>
    <xf numFmtId="0" fontId="61" fillId="35" borderId="13" xfId="0" applyFont="1" applyFill="1" applyBorder="1" applyAlignment="1">
      <alignment horizontal="center" vertical="center"/>
    </xf>
    <xf numFmtId="0" fontId="61" fillId="35" borderId="14" xfId="0" applyFont="1" applyFill="1" applyBorder="1" applyAlignment="1">
      <alignment horizontal="center" vertical="center"/>
    </xf>
    <xf numFmtId="0" fontId="47" fillId="4" borderId="2" xfId="0" applyFont="1" applyFill="1" applyBorder="1" applyAlignment="1">
      <alignment horizontal="center" vertical="center"/>
    </xf>
    <xf numFmtId="0" fontId="47" fillId="4" borderId="6" xfId="0" applyFont="1" applyFill="1" applyBorder="1" applyAlignment="1">
      <alignment horizontal="center" vertical="center"/>
    </xf>
    <xf numFmtId="0" fontId="47" fillId="4" borderId="3" xfId="0" applyFont="1" applyFill="1" applyBorder="1" applyAlignment="1">
      <alignment horizontal="center" vertical="center"/>
    </xf>
    <xf numFmtId="0" fontId="61" fillId="11" borderId="14" xfId="0" applyFont="1" applyFill="1" applyBorder="1" applyAlignment="1">
      <alignment horizontal="center" vertical="center" wrapText="1"/>
    </xf>
    <xf numFmtId="0" fontId="61" fillId="11" borderId="12" xfId="0" applyFont="1" applyFill="1" applyBorder="1" applyAlignment="1">
      <alignment horizontal="center" vertical="center" wrapText="1"/>
    </xf>
    <xf numFmtId="0" fontId="61" fillId="11" borderId="9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left" vertical="center"/>
    </xf>
    <xf numFmtId="0" fontId="47" fillId="29" borderId="2" xfId="0" applyFont="1" applyFill="1" applyBorder="1" applyAlignment="1">
      <alignment horizontal="left" vertical="center"/>
    </xf>
    <xf numFmtId="0" fontId="47" fillId="29" borderId="6" xfId="0" applyFont="1" applyFill="1" applyBorder="1" applyAlignment="1">
      <alignment horizontal="left" vertical="center"/>
    </xf>
    <xf numFmtId="0" fontId="47" fillId="29" borderId="3" xfId="0" applyFont="1" applyFill="1" applyBorder="1" applyAlignment="1">
      <alignment horizontal="left" vertical="center"/>
    </xf>
    <xf numFmtId="0" fontId="62" fillId="23" borderId="6" xfId="0" applyFont="1" applyFill="1" applyBorder="1" applyAlignment="1" applyProtection="1">
      <alignment horizontal="center" vertical="top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45" borderId="2" xfId="0" applyFont="1" applyFill="1" applyBorder="1" applyAlignment="1">
      <alignment horizontal="center" vertical="center"/>
    </xf>
    <xf numFmtId="0" fontId="2" fillId="45" borderId="6" xfId="0" applyFont="1" applyFill="1" applyBorder="1" applyAlignment="1">
      <alignment horizontal="center" vertical="center"/>
    </xf>
    <xf numFmtId="0" fontId="2" fillId="45" borderId="3" xfId="0" applyFont="1" applyFill="1" applyBorder="1" applyAlignment="1">
      <alignment horizontal="center" vertical="center"/>
    </xf>
    <xf numFmtId="0" fontId="52" fillId="34" borderId="13" xfId="0" applyFont="1" applyFill="1" applyBorder="1" applyAlignment="1" applyProtection="1">
      <alignment horizontal="left" vertical="center"/>
      <protection locked="0"/>
    </xf>
    <xf numFmtId="0" fontId="52" fillId="34" borderId="0" xfId="0" applyFont="1" applyFill="1" applyAlignment="1" applyProtection="1">
      <alignment horizontal="left" vertical="center"/>
      <protection locked="0"/>
    </xf>
    <xf numFmtId="0" fontId="62" fillId="23" borderId="2" xfId="0" applyFont="1" applyFill="1" applyBorder="1" applyAlignment="1" applyProtection="1">
      <alignment horizontal="center" vertical="center" wrapText="1"/>
      <protection locked="0"/>
    </xf>
    <xf numFmtId="0" fontId="62" fillId="2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1" fontId="4" fillId="0" borderId="0" xfId="0" applyNumberFormat="1" applyFont="1" applyAlignment="1" applyProtection="1">
      <alignment horizontal="center"/>
      <protection locked="0"/>
    </xf>
    <xf numFmtId="1" fontId="4" fillId="12" borderId="0" xfId="0" applyNumberFormat="1" applyFont="1" applyFill="1" applyAlignment="1" applyProtection="1">
      <alignment horizontal="center"/>
      <protection locked="0"/>
    </xf>
    <xf numFmtId="0" fontId="2" fillId="12" borderId="0" xfId="0" applyFont="1" applyFill="1" applyAlignment="1">
      <alignment horizontal="center" vertical="center"/>
    </xf>
    <xf numFmtId="0" fontId="41" fillId="50" borderId="0" xfId="0" applyFont="1" applyFill="1" applyAlignment="1">
      <alignment horizontal="center" vertical="top"/>
    </xf>
    <xf numFmtId="0" fontId="41" fillId="24" borderId="0" xfId="0" applyFont="1" applyFill="1" applyAlignment="1" applyProtection="1">
      <alignment horizontal="left" vertical="top"/>
      <protection locked="0"/>
    </xf>
    <xf numFmtId="0" fontId="41" fillId="24" borderId="0" xfId="0" applyFont="1" applyFill="1" applyAlignment="1">
      <alignment horizontal="left" vertical="top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24" fillId="32" borderId="1" xfId="0" applyFont="1" applyFill="1" applyBorder="1" applyAlignment="1">
      <alignment horizontal="center" vertical="center" wrapText="1"/>
    </xf>
    <xf numFmtId="0" fontId="2" fillId="30" borderId="1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479"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border>
        <left/>
        <right/>
        <top/>
        <bottom/>
        <vertical/>
        <horizontal/>
      </border>
    </dxf>
    <dxf>
      <fill>
        <patternFill>
          <bgColor theme="3" tint="0.89996032593768116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border>
        <left/>
        <right/>
        <top/>
        <bottom/>
        <vertical/>
        <horizontal/>
      </border>
    </dxf>
    <dxf>
      <fill>
        <patternFill>
          <bgColor theme="3" tint="0.89996032593768116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border>
        <left/>
        <right/>
        <top/>
        <bottom/>
        <vertical/>
        <horizontal/>
      </border>
    </dxf>
    <dxf>
      <fill>
        <patternFill>
          <bgColor theme="3" tint="0.89996032593768116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border>
        <left/>
        <right/>
        <top/>
        <bottom/>
        <vertical/>
        <horizontal/>
      </border>
    </dxf>
    <dxf>
      <fill>
        <patternFill>
          <bgColor theme="3" tint="0.89996032593768116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b val="0"/>
        <i val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font>
        <b val="0"/>
        <i val="0"/>
        <color auto="1"/>
      </font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</border>
    </dxf>
    <dxf>
      <font>
        <color auto="1"/>
      </font>
      <border>
        <left/>
        <right/>
        <top/>
        <bottom/>
        <vertical/>
        <horizontal/>
      </border>
    </dxf>
    <dxf>
      <font>
        <b val="0"/>
        <i val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font>
        <b val="0"/>
        <i val="0"/>
        <color auto="1"/>
      </font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</border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 val="double"/>
      </font>
      <fill>
        <patternFill>
          <bgColor theme="3" tint="0.89996032593768116"/>
        </patternFill>
      </fill>
    </dxf>
    <dxf>
      <fill>
        <patternFill>
          <bgColor theme="7" tint="0.79998168889431442"/>
        </patternFill>
      </fill>
    </dxf>
    <dxf>
      <font>
        <b val="0"/>
        <i val="0"/>
      </font>
      <border>
        <left/>
        <right/>
        <top/>
        <bottom/>
        <vertical/>
        <horizontal/>
      </border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ont>
        <b/>
        <i/>
        <u val="double"/>
      </font>
      <fill>
        <patternFill>
          <bgColor theme="3" tint="0.89996032593768116"/>
        </patternFill>
      </fill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auto="1"/>
      </font>
      <fill>
        <patternFill>
          <bgColor theme="3" tint="0.8999603259376811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92D050"/>
        </patternFill>
      </fill>
    </dxf>
    <dxf>
      <fill>
        <patternFill>
          <bgColor theme="3" tint="0.499984740745262"/>
        </patternFill>
      </fill>
    </dxf>
    <dxf>
      <font>
        <color theme="0"/>
      </font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89996032593768116"/>
        </patternFill>
      </fill>
    </dxf>
    <dxf>
      <font>
        <b val="0"/>
        <i val="0"/>
      </font>
      <border>
        <left/>
        <right/>
        <top/>
        <bottom/>
        <vertical/>
        <horizontal/>
      </border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border>
        <left/>
        <right/>
        <top/>
        <bottom/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border>
        <left/>
        <right/>
        <top/>
        <bottom/>
        <vertical/>
        <horizontal/>
      </border>
    </dxf>
    <dxf>
      <fill>
        <patternFill>
          <bgColor theme="3" tint="0.89996032593768116"/>
        </patternFill>
      </fill>
    </dxf>
    <dxf>
      <fill>
        <patternFill>
          <bgColor rgb="FFFFFF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auto="1"/>
      </font>
      <fill>
        <patternFill>
          <bgColor rgb="FFEC7438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/>
        <right/>
        <top/>
        <bottom/>
        <vertical/>
        <horizontal/>
      </border>
    </dxf>
    <dxf>
      <fill>
        <patternFill>
          <bgColor rgb="FFFFC000"/>
        </patternFill>
      </fill>
    </dxf>
    <dxf>
      <font>
        <b val="0"/>
        <i/>
        <color theme="1" tint="0.34998626667073579"/>
      </font>
      <fill>
        <patternFill>
          <bgColor theme="0"/>
        </patternFill>
      </fill>
      <border>
        <left/>
        <right/>
        <top style="thin">
          <color auto="1"/>
        </top>
        <bottom/>
        <vertical/>
        <horizontal/>
      </border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ont>
        <b val="0"/>
        <i/>
        <color theme="1" tint="0.34998626667073579"/>
      </font>
      <fill>
        <patternFill>
          <bgColor theme="0"/>
        </patternFill>
      </fill>
      <border>
        <left/>
        <right/>
        <top style="thin">
          <color auto="1"/>
        </top>
        <bottom/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92D050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ont>
        <b/>
        <i/>
        <u/>
        <color theme="0"/>
      </font>
      <fill>
        <patternFill>
          <bgColor theme="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theme="0"/>
      </font>
      <fill>
        <patternFill>
          <bgColor theme="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ont>
        <b/>
        <i/>
        <color theme="0"/>
      </font>
      <fill>
        <patternFill>
          <bgColor theme="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color theme="0"/>
      </font>
      <fill>
        <patternFill>
          <bgColor theme="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b val="0"/>
        <i val="0"/>
      </font>
      <border>
        <left/>
        <right/>
        <top/>
        <bottom/>
        <vertical/>
        <horizontal/>
      </border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border>
        <left/>
        <right/>
        <top/>
        <bottom/>
        <vertical/>
        <horizontal/>
      </border>
    </dxf>
    <dxf>
      <fill>
        <patternFill>
          <bgColor theme="3" tint="0.89996032593768116"/>
        </patternFill>
      </fill>
    </dxf>
    <dxf>
      <font>
        <b/>
        <i val="0"/>
        <color auto="1"/>
      </font>
      <fill>
        <patternFill>
          <bgColor theme="3" tint="0.8999603259376811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  <color theme="1" tint="0.34998626667073579"/>
      </font>
      <fill>
        <patternFill>
          <bgColor theme="0"/>
        </patternFill>
      </fill>
      <border>
        <left/>
        <right/>
        <top style="thin">
          <color auto="1"/>
        </top>
        <bottom/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auto="1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FFFF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theme="3" tint="0.89996032593768116"/>
        </patternFill>
      </fill>
    </dxf>
    <dxf>
      <font>
        <b val="0"/>
        <i val="0"/>
      </font>
      <border>
        <left/>
        <right/>
        <top/>
        <bottom/>
        <vertical/>
        <horizontal/>
      </border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u/>
        <color theme="1"/>
      </font>
    </dxf>
    <dxf>
      <font>
        <color auto="1"/>
      </font>
      <fill>
        <patternFill>
          <bgColor rgb="FFEC7438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  <color auto="1"/>
      </font>
      <fill>
        <patternFill>
          <bgColor theme="7" tint="0.79998168889431442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/>
        <color auto="1"/>
      </font>
      <fill>
        <patternFill>
          <bgColor theme="7" tint="0.79998168889431442"/>
        </patternFill>
      </fill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auto="1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auto="1"/>
      </font>
      <fill>
        <patternFill>
          <bgColor rgb="FFEC7438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color theme="1" tint="0.34998626667073579"/>
      </font>
      <fill>
        <patternFill>
          <bgColor theme="0"/>
        </patternFill>
      </fill>
      <border>
        <left/>
        <right/>
        <top style="thin">
          <color auto="1"/>
        </top>
        <bottom/>
        <vertical/>
        <horizontal/>
      </border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/>
        <u/>
        <color theme="0"/>
      </font>
      <fill>
        <patternFill>
          <bgColor theme="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theme="0"/>
      </font>
      <fill>
        <patternFill>
          <bgColor theme="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  <fill>
        <patternFill>
          <bgColor theme="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/>
        <right/>
        <top/>
        <bottom/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ont>
        <b/>
        <i/>
        <u/>
        <color theme="0"/>
      </font>
      <fill>
        <patternFill>
          <bgColor theme="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theme="0"/>
      </font>
      <fill>
        <patternFill>
          <bgColor theme="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/>
        <color theme="0"/>
      </font>
      <fill>
        <patternFill>
          <bgColor theme="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/>
        <u/>
        <color theme="0"/>
      </font>
      <fill>
        <patternFill>
          <bgColor theme="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4" tint="0.79998168889431442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3" tint="0.89996032593768116"/>
        </patternFill>
      </fill>
    </dxf>
    <dxf>
      <fill>
        <patternFill>
          <bgColor rgb="FFFFFF00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C7438"/>
        </patternFill>
      </fill>
    </dxf>
    <dxf>
      <font>
        <b val="0"/>
        <i val="0"/>
      </font>
      <border>
        <left/>
        <right/>
        <top/>
        <bottom/>
        <vertical/>
        <horizontal/>
      </border>
    </dxf>
    <dxf>
      <fill>
        <patternFill>
          <bgColor rgb="FFFFC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3" tint="0.89996032593768116"/>
        </patternFill>
      </fill>
    </dxf>
    <dxf>
      <font>
        <b val="0"/>
        <i val="0"/>
      </font>
      <border>
        <left/>
        <right/>
        <top/>
        <bottom/>
        <vertical/>
        <horizontal/>
      </border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C7438"/>
        </patternFill>
      </fill>
    </dxf>
    <dxf>
      <fill>
        <patternFill>
          <bgColor rgb="FFFFFF00"/>
        </patternFill>
      </fill>
    </dxf>
    <dxf>
      <font>
        <b val="0"/>
        <i val="0"/>
      </font>
      <border>
        <left/>
        <right/>
        <top/>
        <bottom/>
        <vertical/>
        <horizontal/>
      </border>
    </dxf>
    <dxf>
      <fill>
        <patternFill>
          <bgColor theme="3" tint="0.89996032593768116"/>
        </patternFill>
      </fill>
    </dxf>
    <dxf>
      <fill>
        <patternFill>
          <bgColor rgb="FFFFC000"/>
        </patternFill>
      </fill>
    </dxf>
    <dxf>
      <font>
        <b/>
        <i/>
        <color theme="0"/>
      </font>
      <fill>
        <patternFill>
          <bgColor rgb="FF00206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EC7438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b val="0"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00FF"/>
      <color rgb="FF003399"/>
      <color rgb="FFF8705E"/>
      <color rgb="FFF6FB3B"/>
      <color rgb="FFF7DB09"/>
      <color rgb="FFFFFF00"/>
      <color rgb="FFFDCFCF"/>
      <color rgb="FFFB9797"/>
      <color rgb="FF0033CC"/>
      <color rgb="FFEFA4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</xdr:row>
      <xdr:rowOff>22678</xdr:rowOff>
    </xdr:from>
    <xdr:to>
      <xdr:col>2</xdr:col>
      <xdr:colOff>654827</xdr:colOff>
      <xdr:row>20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ACF25B-00FA-485C-BC40-83E2044C6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918278"/>
          <a:ext cx="2978927" cy="1891847"/>
        </a:xfrm>
        <a:prstGeom prst="rect">
          <a:avLst/>
        </a:prstGeom>
      </xdr:spPr>
    </xdr:pic>
    <xdr:clientData/>
  </xdr:twoCellAnchor>
  <xdr:twoCellAnchor editAs="oneCell">
    <xdr:from>
      <xdr:col>2</xdr:col>
      <xdr:colOff>673430</xdr:colOff>
      <xdr:row>11</xdr:row>
      <xdr:rowOff>101600</xdr:rowOff>
    </xdr:from>
    <xdr:to>
      <xdr:col>4</xdr:col>
      <xdr:colOff>554608</xdr:colOff>
      <xdr:row>18</xdr:row>
      <xdr:rowOff>107950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900D63F-3928-476F-8A73-A5AB98EEF0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16572"/>
        <a:stretch>
          <a:fillRect/>
        </a:stretch>
      </xdr:blipFill>
      <xdr:spPr>
        <a:xfrm>
          <a:off x="2997530" y="2997200"/>
          <a:ext cx="1843328" cy="1501775"/>
        </a:xfrm>
        <a:prstGeom prst="rect">
          <a:avLst/>
        </a:prstGeom>
      </xdr:spPr>
    </xdr:pic>
    <xdr:clientData/>
  </xdr:twoCellAnchor>
  <xdr:twoCellAnchor editAs="oneCell">
    <xdr:from>
      <xdr:col>0</xdr:col>
      <xdr:colOff>69851</xdr:colOff>
      <xdr:row>19</xdr:row>
      <xdr:rowOff>196850</xdr:rowOff>
    </xdr:from>
    <xdr:to>
      <xdr:col>2</xdr:col>
      <xdr:colOff>285750</xdr:colOff>
      <xdr:row>26</xdr:row>
      <xdr:rowOff>151648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DE6FB1F-9D6F-4794-886E-B121F812F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9851" y="4768850"/>
          <a:ext cx="2539999" cy="14406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302658</xdr:colOff>
      <xdr:row>14</xdr:row>
      <xdr:rowOff>71556</xdr:rowOff>
    </xdr:from>
    <xdr:to>
      <xdr:col>3</xdr:col>
      <xdr:colOff>1126994</xdr:colOff>
      <xdr:row>28</xdr:row>
      <xdr:rowOff>104321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CA5AAB-E38E-7C64-E02B-6242A2E2B0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8015" y="4280699"/>
          <a:ext cx="3627408" cy="2926551"/>
        </a:xfrm>
        <a:prstGeom prst="rect">
          <a:avLst/>
        </a:prstGeom>
      </xdr:spPr>
    </xdr:pic>
    <xdr:clientData/>
  </xdr:twoCellAnchor>
  <xdr:twoCellAnchor editAs="oneCell">
    <xdr:from>
      <xdr:col>4</xdr:col>
      <xdr:colOff>834571</xdr:colOff>
      <xdr:row>43</xdr:row>
      <xdr:rowOff>172357</xdr:rowOff>
    </xdr:from>
    <xdr:to>
      <xdr:col>6</xdr:col>
      <xdr:colOff>182756</xdr:colOff>
      <xdr:row>52</xdr:row>
      <xdr:rowOff>155548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4D3BDA1-54EC-7AB0-6D59-FBB2A63605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1110" r="3674"/>
        <a:stretch>
          <a:fillRect/>
        </a:stretch>
      </xdr:blipFill>
      <xdr:spPr>
        <a:xfrm>
          <a:off x="6939642" y="11076214"/>
          <a:ext cx="4281715" cy="1616046"/>
        </a:xfrm>
        <a:prstGeom prst="rect">
          <a:avLst/>
        </a:prstGeom>
      </xdr:spPr>
    </xdr:pic>
    <xdr:clientData/>
  </xdr:twoCellAnchor>
  <xdr:twoCellAnchor editAs="oneCell">
    <xdr:from>
      <xdr:col>4</xdr:col>
      <xdr:colOff>1442966</xdr:colOff>
      <xdr:row>55</xdr:row>
      <xdr:rowOff>115621</xdr:rowOff>
    </xdr:from>
    <xdr:to>
      <xdr:col>5</xdr:col>
      <xdr:colOff>1529998</xdr:colOff>
      <xdr:row>62</xdr:row>
      <xdr:rowOff>153737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A07A8B45-40F0-3226-6170-2FEE24AF5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5650" y="13490726"/>
          <a:ext cx="2677164" cy="13014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191321</xdr:colOff>
      <xdr:row>68</xdr:row>
      <xdr:rowOff>1699</xdr:rowOff>
    </xdr:from>
    <xdr:to>
      <xdr:col>5</xdr:col>
      <xdr:colOff>2001574</xdr:colOff>
      <xdr:row>76</xdr:row>
      <xdr:rowOff>88437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6E4011C-FB0E-6F52-140F-057BEAE00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296581" y="15678262"/>
          <a:ext cx="4399201" cy="2401842"/>
        </a:xfrm>
        <a:prstGeom prst="rect">
          <a:avLst/>
        </a:prstGeom>
      </xdr:spPr>
    </xdr:pic>
    <xdr:clientData/>
  </xdr:twoCellAnchor>
  <xdr:twoCellAnchor editAs="oneCell">
    <xdr:from>
      <xdr:col>0</xdr:col>
      <xdr:colOff>182564</xdr:colOff>
      <xdr:row>40</xdr:row>
      <xdr:rowOff>79376</xdr:rowOff>
    </xdr:from>
    <xdr:to>
      <xdr:col>3</xdr:col>
      <xdr:colOff>2238516</xdr:colOff>
      <xdr:row>60</xdr:row>
      <xdr:rowOff>31751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F224FACD-DFC3-724E-DC6B-7B4177476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82564" y="11223626"/>
          <a:ext cx="5865952" cy="382587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upamas Pongpakin" id="{6CCC89CB-67AB-41E1-89F6-074772BE4977}" userId="S::Supamas.Pongpakin@home.dga.or.th::f5ac25a4-bc31-470e-ba85-7e4d15dea579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8" dT="2025-11-15T13:43:37.94" personId="{6CCC89CB-67AB-41E1-89F6-074772BE4977}" id="{C8FADD44-4A70-4E91-9FCC-A9C968FF44AD}">
    <text>ก่อนปัดเศษ</text>
  </threadedComment>
  <threadedComment ref="B42" dT="2025-11-14T07:25:41.95" personId="{6CCC89CB-67AB-41E1-89F6-074772BE4977}" id="{D0B84A75-4EAD-48C4-A187-6600D00DB03F}">
    <text xml:space="preserve">ถ้าสอดคล้องตามแผน ตาม Part1
 ให้แสดงค่า 3 , ไม่ =0
</text>
  </threadedComment>
  <threadedComment ref="B69" dT="2025-11-14T07:25:41.95" personId="{6CCC89CB-67AB-41E1-89F6-074772BE4977}" id="{E2B2B5B6-703B-4F68-8ACE-4CCC772844AD}">
    <text xml:space="preserve">ถ้าสอดคล้องตามแผน ตาม Part1
 ให้แสดงค่า 3 , ไม่ =0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16" dT="2025-11-14T05:49:49.65" personId="{6CCC89CB-67AB-41E1-89F6-074772BE4977}" id="{FE54246D-1D82-4203-BD7C-A52ACF6E5C05}">
    <text>เลขรวมแสดงค่าให้ดู แต่ใช้ในการประเมินไม่ได้ เพราะมีค่าซ้ำกัน</text>
  </threadedComment>
  <threadedComment ref="B33" dT="2025-11-14T05:49:49.65" personId="{6CCC89CB-67AB-41E1-89F6-074772BE4977}" id="{7F904588-A997-4013-8C98-ED176B643CC5}">
    <text>เลขรวมแสดงค่าให้ดู แต่ใช้ในการประเมินไม่ได้ เพราะมีค่าซ้ำกัน</text>
  </threadedComment>
  <threadedComment ref="B49" dT="2025-11-14T05:49:49.65" personId="{6CCC89CB-67AB-41E1-89F6-074772BE4977}" id="{572C3589-BF86-4F47-AEC4-372F4D6FD1BD}">
    <text xml:space="preserve">นับเงื่อนไข
</text>
  </threadedComment>
  <threadedComment ref="B62" dT="2025-11-14T05:49:49.65" personId="{6CCC89CB-67AB-41E1-89F6-074772BE4977}" id="{2153EEEA-BF8C-4CE2-9245-60232D833B44}">
    <text xml:space="preserve">นับเงื่อนไข
</text>
  </threadedComment>
  <threadedComment ref="B75" dT="2025-11-13T11:39:23.92" personId="{6CCC89CB-67AB-41E1-89F6-074772BE4977}" id="{2AE4D06A-BB30-4023-8874-437DC37B5AA5}">
    <text xml:space="preserve">เอามาจากส่วนที่2
</text>
  </threadedComment>
  <threadedComment ref="B78" dT="2025-11-14T05:49:49.65" personId="{6CCC89CB-67AB-41E1-89F6-074772BE4977}" id="{EA845472-3941-4BE4-A38E-724F669240BC}">
    <text xml:space="preserve">นับเงื่อนไข
</text>
  </threadedComment>
  <threadedComment ref="B93" dT="2025-11-13T11:39:23.92" personId="{6CCC89CB-67AB-41E1-89F6-074772BE4977}" id="{047BF4D9-192E-4584-B42B-E733A1E6658B}">
    <text xml:space="preserve">เอามาจากส่วนที่2
</text>
  </threadedComment>
  <threadedComment ref="J95" dT="2025-11-13T09:46:55.52" personId="{6CCC89CB-67AB-41E1-89F6-074772BE4977}" id="{214CDA74-B88B-4CF9-8BD6-5C39C671D12D}">
    <text>เห็นแต่หลังบ้าน</text>
  </threadedComment>
  <threadedComment ref="Q95" dT="2025-11-13T09:46:55.52" personId="{6CCC89CB-67AB-41E1-89F6-074772BE4977}" id="{FD7F6F75-1A16-4C35-B98B-E398ECEAC3AD}">
    <text>เห็นแต่หลังบ้าน</text>
  </threadedComment>
  <threadedComment ref="X95" dT="2025-11-13T09:46:55.52" personId="{6CCC89CB-67AB-41E1-89F6-074772BE4977}" id="{C39FB133-ED43-4C81-B906-677A8BD00159}">
    <text>เห็นแต่หลังบ้าน</text>
  </threadedComment>
  <threadedComment ref="AE95" dT="2025-11-13T09:46:55.52" personId="{6CCC89CB-67AB-41E1-89F6-074772BE4977}" id="{AD109EE3-289E-4AD3-B086-988DF52C08E0}">
    <text>เห็นแต่หลังบ้าน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X2" dT="2025-12-03T04:34:38.86" personId="{6CCC89CB-67AB-41E1-89F6-074772BE4977}" id="{B3AC946E-6EA3-42D9-8E74-A968FAF7044D}">
    <text>ผลจาก CIA</text>
  </threadedComment>
</ThreadedComment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https://data.europa.eu/data/datasets/65bd17fe9ec6ae3f87a53349/similarDatasets?locale=en" TargetMode="External"/><Relationship Id="rId1" Type="http://schemas.openxmlformats.org/officeDocument/2006/relationships/hyperlink" Target="https://catalog.data.gov/dataset/electric-vehicle-population-data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9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CD12A-A668-4AAF-9BA8-EA1E3844C08F}">
  <dimension ref="B2:Y36"/>
  <sheetViews>
    <sheetView showGridLines="0" zoomScale="40" zoomScaleNormal="40" workbookViewId="0">
      <selection activeCell="C22" sqref="C22"/>
    </sheetView>
  </sheetViews>
  <sheetFormatPr defaultRowHeight="14.1"/>
  <cols>
    <col min="2" max="2" width="42.375" customWidth="1"/>
    <col min="3" max="3" width="27.875" customWidth="1"/>
    <col min="4" max="4" width="23.375" customWidth="1"/>
    <col min="5" max="5" width="30" customWidth="1"/>
    <col min="6" max="6" width="17.25" customWidth="1"/>
    <col min="7" max="7" width="25.625" customWidth="1"/>
    <col min="8" max="9" width="5.375" customWidth="1"/>
    <col min="20" max="20" width="19.625" bestFit="1" customWidth="1"/>
    <col min="21" max="21" width="18.625" customWidth="1"/>
    <col min="23" max="23" width="13.375" customWidth="1"/>
    <col min="24" max="24" width="14.5" customWidth="1"/>
    <col min="25" max="25" width="19.875" bestFit="1" customWidth="1"/>
  </cols>
  <sheetData>
    <row r="2" spans="2:25" ht="42" customHeight="1">
      <c r="B2" s="483" t="s">
        <v>0</v>
      </c>
      <c r="C2" s="483"/>
      <c r="D2" s="483"/>
      <c r="E2" s="483"/>
      <c r="F2" s="483"/>
      <c r="G2" s="483"/>
    </row>
    <row r="3" spans="2:25" ht="27" customHeight="1">
      <c r="B3" s="484" t="s">
        <v>1</v>
      </c>
      <c r="C3" s="485"/>
      <c r="D3" s="485"/>
      <c r="E3" s="485"/>
      <c r="F3" s="485"/>
      <c r="G3" s="486"/>
    </row>
    <row r="4" spans="2:25" ht="27.6" customHeight="1">
      <c r="B4" s="55"/>
      <c r="C4" s="70" t="s">
        <v>2</v>
      </c>
      <c r="D4" s="70" t="s">
        <v>3</v>
      </c>
      <c r="E4" s="70" t="s">
        <v>2</v>
      </c>
      <c r="F4" s="70" t="s">
        <v>3</v>
      </c>
      <c r="G4" s="70" t="s">
        <v>4</v>
      </c>
      <c r="T4" s="75"/>
      <c r="U4" s="75"/>
      <c r="V4" s="75"/>
      <c r="W4" s="75"/>
      <c r="X4" s="75"/>
      <c r="Y4" s="75"/>
    </row>
    <row r="5" spans="2:25" ht="29.45">
      <c r="B5" s="67" t="s">
        <v>5</v>
      </c>
      <c r="C5" s="71" t="s">
        <v>6</v>
      </c>
      <c r="D5" s="62" t="s">
        <v>7</v>
      </c>
      <c r="E5" s="72" t="s">
        <v>8</v>
      </c>
      <c r="F5" s="62" t="s">
        <v>9</v>
      </c>
      <c r="G5" s="62" t="s">
        <v>10</v>
      </c>
      <c r="R5" s="76"/>
      <c r="S5" s="76"/>
      <c r="T5" s="75"/>
      <c r="U5" s="84" t="e">
        <f>(IF(D11&gt;9," Highly Protected Data",IF(D11&gt;4," Protected Data"," Official Data")))</f>
        <v>#VALUE!</v>
      </c>
      <c r="V5" s="75" t="s">
        <v>11</v>
      </c>
      <c r="W5" s="75" t="s">
        <v>12</v>
      </c>
      <c r="X5" s="75" t="s">
        <v>13</v>
      </c>
      <c r="Y5" s="75" t="s">
        <v>14</v>
      </c>
    </row>
    <row r="6" spans="2:25" ht="24">
      <c r="B6" s="65" t="s">
        <v>15</v>
      </c>
      <c r="C6" s="57" t="s">
        <v>16</v>
      </c>
      <c r="D6" s="74">
        <f>IF(ISNUMBER(SEARCH("ต่ำ",C6)),1,IF(ISNUMBER(SEARCH("กลาง",C6)),2,IF(ISNUMBER(SEARCH("สูง",C6)),3,"")))</f>
        <v>3</v>
      </c>
      <c r="E6" s="64" t="s">
        <v>17</v>
      </c>
      <c r="F6" s="68">
        <f>IF(E6="น้อยมาก (แทบจะไม่เกิด หรือปีละ 1 ครั้ง)",1, IF(E6="น้อยครั้ง (ปีละไม่เกิน 2 ครั้ง)",2, IF(E6="บางครั้ง  (ไตรมาสละ 1  ครั้ง)",3, IF(E6="สูง (ปีละ 6-10 ครั้ง)",4, IF(E6="สูงมาก (ขั้นต่ำเดือนละครั้ง)",5,"")))))</f>
        <v>5</v>
      </c>
      <c r="G6" s="82">
        <f>D6*F6</f>
        <v>15</v>
      </c>
      <c r="R6" s="76"/>
      <c r="S6" s="76"/>
      <c r="T6" s="75"/>
      <c r="U6" s="85" t="e">
        <f>IF(LOWER(TRIM(U5))="highly protected data", 3,
IF(LOWER(TRIM(U5))="protected data", 2,
IF(LOWER(TRIM(U5))="official data", 1, "")))</f>
        <v>#VALUE!</v>
      </c>
      <c r="V6" s="87" t="str">
        <f>IF(C15="ใช่", 1, "0")</f>
        <v>0</v>
      </c>
      <c r="W6" s="75" t="e">
        <f>IF(D11&gt;9,"ลับที่สุด",IF(D11&gt;6,"ลับมาก",IF(D11&gt;4,"ลับ",IF(D11&gt;2,"เผยแพร่ภายในองค์กร","เปิดเผย"))))</f>
        <v>#VALUE!</v>
      </c>
      <c r="X6" s="75" t="e">
        <f>IF(W6="เปิดเผย", 2,
 IF(W6="เผยแพร่ภายในองค์กร", 4,
 IF(W6="ลับ", 6,
 IF(W6="ลับมาก", 9,
 IF(W6="ลับที่สุด", 10, "")))))</f>
        <v>#VALUE!</v>
      </c>
      <c r="Y6" s="90" t="e">
        <f>X6+V6</f>
        <v>#VALUE!</v>
      </c>
    </row>
    <row r="7" spans="2:25" ht="24">
      <c r="B7" s="65" t="s">
        <v>18</v>
      </c>
      <c r="C7" s="57" t="s">
        <v>19</v>
      </c>
      <c r="D7" s="74">
        <f>IF(ISNUMBER(SEARCH("ต่ำ",C7)),1,IF(ISNUMBER(SEARCH("กลาง",C7)),2,IF(ISNUMBER(SEARCH("สูง",C7)),3,"")))</f>
        <v>3</v>
      </c>
      <c r="E7" s="57" t="s">
        <v>20</v>
      </c>
      <c r="F7" s="68">
        <f>IF(E7="น้อยมาก (แทบจะไม่เกิด หรือปีละ 1 ครั้ง)",1, IF(E7="น้อยครั้ง (ปีละไม่เกิน 2 ครั้ง)",2, IF(E7="บางครั้ง  (ไตรมาสละ 1  ครั้ง)",3, IF(E7="สูง (ปีละ 6-10 ครั้ง)",4, IF(E7="สูงมาก (ขั้นต่ำเดือนละครั้ง)",5,"")))))</f>
        <v>4</v>
      </c>
      <c r="G7" s="82">
        <f>D7*F7</f>
        <v>12</v>
      </c>
      <c r="R7" s="76"/>
      <c r="S7" s="76"/>
      <c r="T7" s="75"/>
      <c r="U7" s="87" t="e">
        <f>U6+V6</f>
        <v>#VALUE!</v>
      </c>
      <c r="V7" s="75"/>
      <c r="W7" s="75"/>
      <c r="X7" s="75"/>
      <c r="Y7" s="75"/>
    </row>
    <row r="8" spans="2:25" ht="24">
      <c r="B8" s="66" t="s">
        <v>21</v>
      </c>
      <c r="C8" s="57" t="s">
        <v>22</v>
      </c>
      <c r="D8" s="74">
        <f>IF(ISNUMBER(SEARCH("ต่ำ",C8)),1,IF(ISNUMBER(SEARCH("กลาง",C8)),2,IF(ISNUMBER(SEARCH("สูง",C8)),3,"")))</f>
        <v>3</v>
      </c>
      <c r="E8" s="57" t="s">
        <v>20</v>
      </c>
      <c r="F8" s="68">
        <f>IF(E8="น้อยมาก (แทบจะไม่เกิด หรือปีละ 1 ครั้ง)",1, IF(E8="น้อยครั้ง (ปีละไม่เกิน 2 ครั้ง)",2, IF(E8="บางครั้ง  (ไตรมาสละ 1  ครั้ง)",3, IF(E8="สูง (ปีละ 6-10 ครั้ง)",4, IF(E8="สูงมาก (ขั้นต่ำเดือนละครั้ง)",5,"")))))</f>
        <v>4</v>
      </c>
      <c r="G8" s="82">
        <f>D8*F8</f>
        <v>12</v>
      </c>
      <c r="Q8" s="81"/>
      <c r="T8" s="75"/>
      <c r="U8" s="75"/>
      <c r="V8" s="75"/>
      <c r="W8" s="75"/>
      <c r="X8" s="75"/>
      <c r="Y8" s="75"/>
    </row>
    <row r="9" spans="2:25" ht="24">
      <c r="B9" s="65" t="s">
        <v>23</v>
      </c>
      <c r="C9" s="57" t="s">
        <v>24</v>
      </c>
      <c r="D9" s="74">
        <f t="shared" ref="D9:D10" si="0">IF(ISNUMBER(SEARCH("ต่ำ",C9)),1,IF(ISNUMBER(SEARCH("กลาง",C9)),2,IF(ISNUMBER(SEARCH("สูง",C9)),3,"")))</f>
        <v>3</v>
      </c>
      <c r="E9" s="57" t="s">
        <v>25</v>
      </c>
      <c r="F9" s="68">
        <f>IF(E9="น้อยมาก (แทบจะไม่เกิด หรือปีละ 1 ครั้ง)",1, IF(E9="น้อยครั้ง (ปีละไม่เกิน 2 ครั้ง)",2, IF(E9="บางครั้ง  (ไตรมาสละ 1  ครั้ง)",3, IF(E9="สูง (ปีละ 6-10 ครั้ง)",4, IF(E9="สูงมาก (ขั้นต่ำเดือนละครั้ง)",5,"")))))</f>
        <v>3</v>
      </c>
      <c r="G9" s="82">
        <f>D9*F9</f>
        <v>9</v>
      </c>
      <c r="R9" s="76"/>
      <c r="S9" s="76"/>
      <c r="T9" s="86"/>
      <c r="U9" s="75"/>
      <c r="V9" s="75"/>
      <c r="W9" s="75"/>
      <c r="X9" s="75"/>
      <c r="Y9" s="75"/>
    </row>
    <row r="10" spans="2:25" ht="24">
      <c r="B10" s="65" t="s">
        <v>26</v>
      </c>
      <c r="C10" s="69" t="e">
        <f>#REF!</f>
        <v>#REF!</v>
      </c>
      <c r="D10" s="74" t="str">
        <f t="shared" si="0"/>
        <v/>
      </c>
      <c r="E10" s="57" t="s">
        <v>27</v>
      </c>
      <c r="F10" s="68">
        <f>IF(E10="น้อยมาก (แทบจะไม่เกิด หรือปีละ 1 ครั้ง)",1, IF(E10="น้อยครั้ง (ปีละไม่เกิน 2 ครั้ง)",2, IF(E10="บางครั้ง  (ไตรมาสละ 1  ครั้ง)",3, IF(E10="สูง (ปีละ 6-10 ครั้ง)",4, IF(E10="สูงมาก (ขั้นต่ำเดือนละครั้ง)",5,"")))))</f>
        <v>2</v>
      </c>
      <c r="G10" s="83" t="e">
        <f>D10*F10</f>
        <v>#VALUE!</v>
      </c>
      <c r="R10" s="76"/>
      <c r="S10" s="76"/>
      <c r="T10" s="75"/>
      <c r="U10" s="75"/>
      <c r="V10" s="75"/>
      <c r="W10" s="75"/>
      <c r="X10" s="75"/>
      <c r="Y10" s="75"/>
    </row>
    <row r="11" spans="2:25" ht="33" customHeight="1">
      <c r="B11" s="73" t="s">
        <v>28</v>
      </c>
      <c r="C11" s="59" t="e">
        <f>IF(D11&gt;9,"สูงมาก",IF(D11&gt;6,"สูง",IF(D11&gt;4,"ปานกลาง ",IF(D11&gt;2,"ต่ำ","ต่ำมาก"))))</f>
        <v>#VALUE!</v>
      </c>
      <c r="D11" s="60" t="e">
        <f>ROUND(AVERAGE(G6:G10),0)</f>
        <v>#VALUE!</v>
      </c>
      <c r="G11" s="657"/>
    </row>
    <row r="12" spans="2:25" s="56" customFormat="1" ht="15.95" customHeight="1">
      <c r="B12" s="77"/>
      <c r="C12" s="89"/>
      <c r="D12" s="78"/>
      <c r="G12" s="658"/>
    </row>
    <row r="13" spans="2:25" s="56" customFormat="1" ht="18" customHeight="1">
      <c r="B13" s="70"/>
      <c r="G13" s="658"/>
    </row>
    <row r="14" spans="2:25" s="56" customFormat="1" ht="33" customHeight="1">
      <c r="B14" s="659" t="e">
        <f>IF(D11&gt;9,"คำถามต่อเนื่อง","")</f>
        <v>#VALUE!</v>
      </c>
      <c r="C14" s="88" t="e">
        <f>IF(D11&gt;9,"จงเลือกคำตอบ (ถ้ามี)","")</f>
        <v>#VALUE!</v>
      </c>
      <c r="D14" s="78"/>
      <c r="G14" s="658"/>
    </row>
    <row r="15" spans="2:25" s="56" customFormat="1" ht="33" customHeight="1">
      <c r="B15" s="659" t="e">
        <f>IF(D11&gt;9,"เป็นข้อมูลในส่วนแผนและนโยบายแห่งชาติหรือไม่ ?","")</f>
        <v>#VALUE!</v>
      </c>
      <c r="C15" s="80"/>
      <c r="D15" s="78"/>
      <c r="G15" s="658"/>
    </row>
    <row r="16" spans="2:25" ht="24" customHeight="1"/>
    <row r="17" spans="2:7" ht="24.6" customHeight="1"/>
    <row r="18" spans="2:7" ht="27">
      <c r="B18" s="484" t="s">
        <v>29</v>
      </c>
      <c r="C18" s="485"/>
      <c r="D18" s="485"/>
      <c r="E18" s="485"/>
      <c r="F18" s="485"/>
      <c r="G18" s="486"/>
    </row>
    <row r="21" spans="2:7" ht="48" customHeight="1">
      <c r="B21" s="415"/>
      <c r="C21" s="72" t="s">
        <v>30</v>
      </c>
      <c r="D21" s="72" t="s">
        <v>31</v>
      </c>
      <c r="E21" s="487" t="s">
        <v>32</v>
      </c>
      <c r="F21" s="487"/>
    </row>
    <row r="22" spans="2:7" ht="24">
      <c r="C22" s="59" t="e">
        <f>IF(Y6&gt;10,"ลับที่สุด",IF(D11&gt;6,"ลับมาก",IF(D11&gt;4,"ลับ ",IF(D11&gt;2,"เผยแพร่ภายในองค์กร","เปิดเผย"))))</f>
        <v>#VALUE!</v>
      </c>
      <c r="D22" s="59" t="e">
        <f>IF(U7=4, "Highly Protected Data", IF(U7&gt;2, "Protected Data", "Official Data"))</f>
        <v>#VALUE!</v>
      </c>
      <c r="E22" s="488" t="e">
        <f>IF(UPPER(TRIM(D22))="HIGHLY PROTECTED DATA","Sovereign Cloud",
 IF(OR(UPPER(TRIM(D22))="PROTECTED DATA",UPPER(TRIM(D22))="OFFICIAL DATA"),"Public Cloud",""))</f>
        <v>#VALUE!</v>
      </c>
      <c r="F22" s="488"/>
    </row>
    <row r="34" spans="4:4">
      <c r="D34" s="76"/>
    </row>
    <row r="35" spans="4:4">
      <c r="D35" s="79" t="s">
        <v>33</v>
      </c>
    </row>
    <row r="36" spans="4:4">
      <c r="D36" s="79" t="s">
        <v>34</v>
      </c>
    </row>
  </sheetData>
  <mergeCells count="5">
    <mergeCell ref="B2:G2"/>
    <mergeCell ref="B3:G3"/>
    <mergeCell ref="B18:G18"/>
    <mergeCell ref="E21:F21"/>
    <mergeCell ref="E22:F22"/>
  </mergeCells>
  <conditionalFormatting sqref="B14">
    <cfRule type="cellIs" dxfId="478" priority="5" operator="equal">
      <formula>"คำถามต่อเนื่อง"</formula>
    </cfRule>
  </conditionalFormatting>
  <conditionalFormatting sqref="B14:B15 Q8 C11:C12 C14">
    <cfRule type="containsText" dxfId="477" priority="11" operator="containsText" text="ต่ำ">
      <formula>NOT(ISERROR(SEARCH("ต่ำ",B8)))</formula>
    </cfRule>
  </conditionalFormatting>
  <conditionalFormatting sqref="B15">
    <cfRule type="cellIs" dxfId="476" priority="4" operator="equal">
      <formula>"เป็นข้อมูลในส่วนแผนและนโยบายแห่งชาติหรือไม่ ?"</formula>
    </cfRule>
  </conditionalFormatting>
  <conditionalFormatting sqref="C12">
    <cfRule type="cellIs" dxfId="475" priority="1" operator="equal">
      <formula>"เป็นข้อมูลในส่วนแผนและนโยบายแห่งชาติหรือไม่ ?"</formula>
    </cfRule>
  </conditionalFormatting>
  <conditionalFormatting sqref="C15">
    <cfRule type="cellIs" dxfId="474" priority="2" operator="equal">
      <formula>"ไม่"</formula>
    </cfRule>
    <cfRule type="cellIs" dxfId="473" priority="3" operator="equal">
      <formula>"ใช่"</formula>
    </cfRule>
  </conditionalFormatting>
  <conditionalFormatting sqref="C22:D22">
    <cfRule type="containsText" dxfId="472" priority="6" operator="containsText" text="เผยแพร่ภายในองค์กร">
      <formula>NOT(ISERROR(SEARCH("เผยแพร่ภายในองค์กร",C22)))</formula>
    </cfRule>
    <cfRule type="containsText" dxfId="471" priority="7" operator="containsText" text="เปิดเผย">
      <formula>NOT(ISERROR(SEARCH("เปิดเผย",C22)))</formula>
    </cfRule>
    <cfRule type="containsText" dxfId="470" priority="8" stopIfTrue="1" operator="containsText" text="ลับ ">
      <formula>NOT(ISERROR(SEARCH("ลับ ",C22)))</formula>
    </cfRule>
    <cfRule type="containsText" dxfId="469" priority="9" operator="containsText" text="ลับมาก">
      <formula>NOT(ISERROR(SEARCH("ลับมาก",C22)))</formula>
    </cfRule>
    <cfRule type="containsText" dxfId="468" priority="10" operator="containsText" text="ลับที่สุด">
      <formula>NOT(ISERROR(SEARCH("ลับที่สุด",C22)))</formula>
    </cfRule>
  </conditionalFormatting>
  <conditionalFormatting sqref="Q8 C11:C12 C14 B14:B15">
    <cfRule type="containsText" dxfId="467" priority="12" operator="containsText" text="ต่ำมาก">
      <formula>NOT(ISERROR(SEARCH("ต่ำมาก",B8)))</formula>
    </cfRule>
    <cfRule type="containsText" dxfId="466" priority="13" operator="containsText" text="ปานกลาง">
      <formula>NOT(ISERROR(SEARCH("ปานกลาง",B8)))</formula>
    </cfRule>
    <cfRule type="containsText" dxfId="465" priority="14" operator="containsText" text="&quot;สูง&quot;">
      <formula>NOT(ISERROR(SEARCH("""สูง""",B8)))</formula>
    </cfRule>
    <cfRule type="containsText" dxfId="464" priority="15" operator="containsText" text="สูงมาก">
      <formula>NOT(ISERROR(SEARCH("สูงมาก",B8)))</formula>
    </cfRule>
  </conditionalFormatting>
  <dataValidations count="1">
    <dataValidation type="list" allowBlank="1" showInputMessage="1" showErrorMessage="1" sqref="C15" xr:uid="{4CC0ED9D-08A7-4497-A159-7887A77237D8}">
      <formula1>INDIRECT(IF(B15="เป็นข้อมูลในส่วนแผนและนโยบายแห่งชาติหรือไม่ ?","list","empty"))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36459C4-8545-4D77-A83E-D27BE29E0FAF}">
          <x14:formula1>
            <xm:f>Dropdown!$E$38:$E$40</xm:f>
          </x14:formula1>
          <xm:sqref>C8</xm:sqref>
        </x14:dataValidation>
        <x14:dataValidation type="list" allowBlank="1" showInputMessage="1" showErrorMessage="1" xr:uid="{7CADBFBC-BE1F-4EFB-91C0-4CE35951E819}">
          <x14:formula1>
            <xm:f>Dropdown!$C$38:$C$40</xm:f>
          </x14:formula1>
          <xm:sqref>C6</xm:sqref>
        </x14:dataValidation>
        <x14:dataValidation type="list" allowBlank="1" showInputMessage="1" showErrorMessage="1" xr:uid="{8044638C-6307-4C12-8BA0-0B8BD0CC987F}">
          <x14:formula1>
            <xm:f>Dropdown!$D$38:$D$40</xm:f>
          </x14:formula1>
          <xm:sqref>C7</xm:sqref>
        </x14:dataValidation>
        <x14:dataValidation type="list" allowBlank="1" showInputMessage="1" showErrorMessage="1" xr:uid="{27D8D630-03D3-413B-85BF-44A8FFDF04DD}">
          <x14:formula1>
            <xm:f>Dropdown!$F$38:$F$40</xm:f>
          </x14:formula1>
          <xm:sqref>C9</xm:sqref>
        </x14:dataValidation>
        <x14:dataValidation type="list" allowBlank="1" showInputMessage="1" showErrorMessage="1" xr:uid="{915325A7-2E62-45AE-A552-6DDB376E7EF9}">
          <x14:formula1>
            <xm:f>Dropdown!$J$38:$J$42</xm:f>
          </x14:formula1>
          <xm:sqref>E6:E10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62AA1-B75C-46AD-AB1F-DD1CE7E22192}">
  <dimension ref="A2:Q35"/>
  <sheetViews>
    <sheetView zoomScaleNormal="100" workbookViewId="0">
      <selection activeCell="C9" sqref="C9"/>
    </sheetView>
  </sheetViews>
  <sheetFormatPr defaultRowHeight="14.1"/>
  <cols>
    <col min="1" max="1" width="21.125" customWidth="1"/>
    <col min="2" max="2" width="9.375" bestFit="1" customWidth="1"/>
    <col min="3" max="3" width="12.375" bestFit="1" customWidth="1"/>
    <col min="4" max="4" width="13.375" customWidth="1"/>
    <col min="5" max="5" width="13.625" customWidth="1"/>
    <col min="6" max="6" width="12.5" customWidth="1"/>
    <col min="7" max="7" width="7.5" customWidth="1"/>
    <col min="8" max="8" width="12.125" customWidth="1"/>
    <col min="9" max="9" width="7.5" bestFit="1" customWidth="1"/>
    <col min="10" max="10" width="6.375" customWidth="1"/>
    <col min="11" max="11" width="4.75" customWidth="1"/>
    <col min="24" max="24" width="12" customWidth="1"/>
  </cols>
  <sheetData>
    <row r="2" spans="1:17" ht="33.950000000000003">
      <c r="C2" s="13" t="s">
        <v>35</v>
      </c>
      <c r="F2" s="13" t="s">
        <v>35</v>
      </c>
      <c r="H2" s="50" t="s">
        <v>36</v>
      </c>
    </row>
    <row r="3" spans="1:17" ht="17.100000000000001">
      <c r="A3" s="13" t="s">
        <v>30</v>
      </c>
      <c r="B3" s="13" t="s">
        <v>37</v>
      </c>
      <c r="C3" s="32" t="s">
        <v>38</v>
      </c>
      <c r="D3" s="13" t="s">
        <v>39</v>
      </c>
      <c r="E3" s="13" t="s">
        <v>40</v>
      </c>
      <c r="F3" s="29" t="s">
        <v>41</v>
      </c>
      <c r="G3" s="13" t="s">
        <v>42</v>
      </c>
      <c r="H3" s="29" t="s">
        <v>41</v>
      </c>
      <c r="I3" s="30"/>
      <c r="J3" s="30"/>
      <c r="L3" s="489" t="s">
        <v>43</v>
      </c>
      <c r="M3" s="490"/>
    </row>
    <row r="4" spans="1:17" ht="21">
      <c r="A4" s="12" t="s">
        <v>44</v>
      </c>
      <c r="B4" s="12" t="s">
        <v>45</v>
      </c>
      <c r="C4" s="13" t="s">
        <v>46</v>
      </c>
      <c r="D4" s="491" t="s">
        <v>46</v>
      </c>
      <c r="E4" s="13" t="s">
        <v>46</v>
      </c>
      <c r="F4" s="13" t="s">
        <v>46</v>
      </c>
      <c r="G4" s="36" t="s">
        <v>47</v>
      </c>
      <c r="H4" s="13" t="s">
        <v>48</v>
      </c>
      <c r="I4" s="48"/>
      <c r="J4" s="41"/>
      <c r="K4" s="30" t="s">
        <v>49</v>
      </c>
      <c r="L4" s="18">
        <v>3</v>
      </c>
      <c r="M4" s="19">
        <v>6</v>
      </c>
      <c r="N4" s="20">
        <v>9</v>
      </c>
      <c r="O4" s="31">
        <v>12</v>
      </c>
      <c r="P4" s="43">
        <v>15</v>
      </c>
    </row>
    <row r="5" spans="1:17" ht="21">
      <c r="A5" s="26" t="s">
        <v>50</v>
      </c>
      <c r="B5" s="14" t="s">
        <v>45</v>
      </c>
      <c r="C5" s="13" t="s">
        <v>51</v>
      </c>
      <c r="D5" s="491"/>
      <c r="E5" s="24" t="s">
        <v>52</v>
      </c>
      <c r="F5" s="13" t="s">
        <v>53</v>
      </c>
      <c r="G5" s="36" t="s">
        <v>54</v>
      </c>
      <c r="H5" s="13" t="s">
        <v>55</v>
      </c>
      <c r="I5" s="41"/>
      <c r="J5" s="41"/>
      <c r="K5" s="30" t="s">
        <v>56</v>
      </c>
      <c r="L5" s="22">
        <v>2</v>
      </c>
      <c r="M5" s="23">
        <v>4</v>
      </c>
      <c r="N5" s="19">
        <v>6</v>
      </c>
      <c r="O5" s="20">
        <v>8</v>
      </c>
      <c r="P5" s="20">
        <v>10</v>
      </c>
    </row>
    <row r="6" spans="1:17" ht="21">
      <c r="A6" s="15" t="s">
        <v>57</v>
      </c>
      <c r="B6" s="15" t="s">
        <v>58</v>
      </c>
      <c r="C6" s="13" t="s">
        <v>59</v>
      </c>
      <c r="D6" s="13" t="s">
        <v>51</v>
      </c>
      <c r="E6" s="24" t="s">
        <v>60</v>
      </c>
      <c r="F6" s="25" t="s">
        <v>61</v>
      </c>
      <c r="G6" s="36" t="s">
        <v>62</v>
      </c>
      <c r="H6" s="13" t="s">
        <v>63</v>
      </c>
      <c r="I6" s="41"/>
      <c r="J6" s="41"/>
      <c r="K6" s="30" t="s">
        <v>64</v>
      </c>
      <c r="L6" s="22">
        <v>1</v>
      </c>
      <c r="M6" s="22">
        <v>2</v>
      </c>
      <c r="N6" s="18">
        <v>3</v>
      </c>
      <c r="O6" s="18">
        <v>4</v>
      </c>
      <c r="P6" s="19">
        <v>5</v>
      </c>
    </row>
    <row r="7" spans="1:17" ht="21">
      <c r="A7" s="16" t="s">
        <v>65</v>
      </c>
      <c r="B7" s="16" t="s">
        <v>66</v>
      </c>
      <c r="C7" s="13" t="s">
        <v>62</v>
      </c>
      <c r="D7" s="13" t="s">
        <v>67</v>
      </c>
      <c r="E7" s="24" t="s">
        <v>68</v>
      </c>
      <c r="F7" s="24" t="s">
        <v>69</v>
      </c>
      <c r="G7" s="36" t="s">
        <v>70</v>
      </c>
      <c r="H7" s="13" t="s">
        <v>71</v>
      </c>
      <c r="I7" s="41" t="s">
        <v>72</v>
      </c>
      <c r="L7" s="30">
        <v>1</v>
      </c>
      <c r="M7" s="30">
        <v>2</v>
      </c>
      <c r="N7" s="30">
        <v>3</v>
      </c>
      <c r="O7" s="30">
        <v>4</v>
      </c>
      <c r="P7" s="30">
        <v>5</v>
      </c>
    </row>
    <row r="8" spans="1:17" ht="21">
      <c r="A8" s="17" t="s">
        <v>73</v>
      </c>
      <c r="B8" s="17" t="s">
        <v>74</v>
      </c>
      <c r="C8" s="13" t="s">
        <v>75</v>
      </c>
      <c r="D8" s="13" t="s">
        <v>75</v>
      </c>
      <c r="E8" s="24" t="s">
        <v>76</v>
      </c>
      <c r="F8" s="24" t="s">
        <v>76</v>
      </c>
      <c r="G8" s="36" t="s">
        <v>77</v>
      </c>
      <c r="H8" s="13" t="s">
        <v>78</v>
      </c>
      <c r="I8" s="41" t="s">
        <v>72</v>
      </c>
      <c r="L8" s="30" t="s">
        <v>79</v>
      </c>
      <c r="M8" s="30" t="s">
        <v>80</v>
      </c>
      <c r="N8" s="30" t="s">
        <v>81</v>
      </c>
      <c r="O8" s="30" t="s">
        <v>82</v>
      </c>
      <c r="P8" s="30" t="s">
        <v>83</v>
      </c>
    </row>
    <row r="9" spans="1:17" ht="21">
      <c r="A9" s="51"/>
      <c r="B9" s="51"/>
      <c r="C9" s="52"/>
      <c r="D9" s="52"/>
      <c r="E9" s="53"/>
      <c r="F9" s="53"/>
      <c r="G9" s="54"/>
      <c r="H9" s="52"/>
      <c r="I9" s="54"/>
    </row>
    <row r="11" spans="1:17" ht="17.100000000000001">
      <c r="A11" s="30" t="s">
        <v>84</v>
      </c>
      <c r="D11" s="33" t="s">
        <v>85</v>
      </c>
    </row>
    <row r="13" spans="1:17" ht="17.100000000000001">
      <c r="M13" s="492" t="s">
        <v>86</v>
      </c>
      <c r="N13" s="493"/>
    </row>
    <row r="14" spans="1:17" ht="17.100000000000001">
      <c r="F14" s="492" t="s">
        <v>87</v>
      </c>
      <c r="G14" s="493"/>
      <c r="L14" s="30" t="s">
        <v>49</v>
      </c>
      <c r="M14" s="9">
        <v>3</v>
      </c>
      <c r="N14" s="34">
        <v>6</v>
      </c>
      <c r="O14" s="10">
        <v>9</v>
      </c>
      <c r="P14" s="28">
        <v>12</v>
      </c>
      <c r="Q14" s="42">
        <v>15</v>
      </c>
    </row>
    <row r="15" spans="1:17" ht="17.100000000000001">
      <c r="E15" s="30" t="s">
        <v>49</v>
      </c>
      <c r="F15" s="18">
        <v>3</v>
      </c>
      <c r="G15" s="19">
        <v>6</v>
      </c>
      <c r="H15" s="20">
        <v>9</v>
      </c>
      <c r="I15" s="21">
        <v>12</v>
      </c>
      <c r="J15" s="21">
        <v>15</v>
      </c>
      <c r="L15" s="30" t="s">
        <v>56</v>
      </c>
      <c r="M15" s="8">
        <v>2</v>
      </c>
      <c r="N15" s="11">
        <v>4</v>
      </c>
      <c r="O15" s="34">
        <v>6</v>
      </c>
      <c r="P15" s="10">
        <v>8</v>
      </c>
      <c r="Q15" s="35">
        <v>10</v>
      </c>
    </row>
    <row r="16" spans="1:17" ht="17.100000000000001">
      <c r="E16" s="30" t="s">
        <v>56</v>
      </c>
      <c r="F16" s="22">
        <v>2</v>
      </c>
      <c r="G16" s="23">
        <v>4</v>
      </c>
      <c r="H16" s="19">
        <v>6</v>
      </c>
      <c r="I16" s="20">
        <v>8</v>
      </c>
      <c r="J16" s="21">
        <v>10</v>
      </c>
      <c r="L16" s="30" t="s">
        <v>64</v>
      </c>
      <c r="M16" s="8">
        <v>1</v>
      </c>
      <c r="N16" s="8">
        <v>2</v>
      </c>
      <c r="O16" s="8">
        <v>3</v>
      </c>
      <c r="P16" s="9">
        <v>4</v>
      </c>
      <c r="Q16" s="27">
        <v>5</v>
      </c>
    </row>
    <row r="17" spans="4:17" ht="17.100000000000001">
      <c r="E17" s="30" t="s">
        <v>64</v>
      </c>
      <c r="F17" s="22">
        <v>1</v>
      </c>
      <c r="G17" s="22">
        <v>2</v>
      </c>
      <c r="H17" s="18">
        <v>3</v>
      </c>
      <c r="I17" s="18">
        <v>4</v>
      </c>
      <c r="J17" s="19">
        <v>5</v>
      </c>
      <c r="M17" s="30">
        <v>1</v>
      </c>
      <c r="N17" s="30">
        <v>2</v>
      </c>
      <c r="O17" s="30">
        <v>3</v>
      </c>
      <c r="P17" s="30">
        <v>4</v>
      </c>
      <c r="Q17" s="30">
        <v>5</v>
      </c>
    </row>
    <row r="18" spans="4:17" ht="17.100000000000001">
      <c r="E18" s="30"/>
      <c r="F18" s="30">
        <v>1</v>
      </c>
      <c r="G18" s="30">
        <v>2</v>
      </c>
      <c r="H18" s="30">
        <v>3</v>
      </c>
      <c r="I18" s="30">
        <v>4</v>
      </c>
      <c r="J18" s="30">
        <v>5</v>
      </c>
    </row>
    <row r="20" spans="4:17" ht="17.100000000000001">
      <c r="L20" s="46" t="s">
        <v>88</v>
      </c>
      <c r="M20" s="492" t="s">
        <v>89</v>
      </c>
      <c r="N20" s="493"/>
    </row>
    <row r="21" spans="4:17" ht="17.100000000000001">
      <c r="L21" s="47" t="s">
        <v>49</v>
      </c>
      <c r="M21" s="38">
        <v>3</v>
      </c>
      <c r="N21" s="37">
        <v>6</v>
      </c>
      <c r="O21" s="39">
        <v>9</v>
      </c>
      <c r="P21" s="40">
        <v>12</v>
      </c>
      <c r="Q21" s="21">
        <v>15</v>
      </c>
    </row>
    <row r="22" spans="4:17" ht="17.100000000000001">
      <c r="D22" t="s">
        <v>90</v>
      </c>
      <c r="L22" s="47" t="s">
        <v>56</v>
      </c>
      <c r="M22" s="22">
        <v>2</v>
      </c>
      <c r="N22" s="23">
        <v>4</v>
      </c>
      <c r="O22" s="37">
        <v>6</v>
      </c>
      <c r="P22" s="39">
        <v>8</v>
      </c>
      <c r="Q22" s="40">
        <v>10</v>
      </c>
    </row>
    <row r="23" spans="4:17" ht="17.100000000000001">
      <c r="D23" t="s">
        <v>91</v>
      </c>
      <c r="L23" s="47" t="s">
        <v>64</v>
      </c>
      <c r="M23" s="22">
        <v>1</v>
      </c>
      <c r="N23" s="22">
        <v>2</v>
      </c>
      <c r="O23" s="38">
        <v>3</v>
      </c>
      <c r="P23" s="18">
        <v>4</v>
      </c>
      <c r="Q23" s="37">
        <v>5</v>
      </c>
    </row>
    <row r="24" spans="4:17" ht="17.100000000000001">
      <c r="D24" t="s">
        <v>92</v>
      </c>
      <c r="L24" s="44" t="s">
        <v>93</v>
      </c>
      <c r="M24" s="45">
        <v>1</v>
      </c>
      <c r="N24" s="45">
        <v>2</v>
      </c>
      <c r="O24" s="45">
        <v>3</v>
      </c>
      <c r="P24" s="45">
        <v>4</v>
      </c>
      <c r="Q24" s="45">
        <v>5</v>
      </c>
    </row>
    <row r="25" spans="4:17" ht="17.100000000000001" customHeight="1">
      <c r="D25" t="s">
        <v>94</v>
      </c>
    </row>
    <row r="26" spans="4:17">
      <c r="D26" t="s">
        <v>95</v>
      </c>
    </row>
    <row r="27" spans="4:17">
      <c r="D27" t="s">
        <v>96</v>
      </c>
    </row>
    <row r="28" spans="4:17">
      <c r="D28" t="s">
        <v>97</v>
      </c>
    </row>
    <row r="29" spans="4:17">
      <c r="D29" s="49" t="s">
        <v>98</v>
      </c>
    </row>
    <row r="30" spans="4:17">
      <c r="D30" t="s">
        <v>99</v>
      </c>
    </row>
    <row r="31" spans="4:17">
      <c r="D31" t="s">
        <v>100</v>
      </c>
    </row>
    <row r="32" spans="4:17">
      <c r="D32" t="s">
        <v>101</v>
      </c>
    </row>
    <row r="33" spans="4:4">
      <c r="D33" t="s">
        <v>102</v>
      </c>
    </row>
    <row r="34" spans="4:4">
      <c r="D34" t="s">
        <v>103</v>
      </c>
    </row>
    <row r="35" spans="4:4">
      <c r="D35" t="s">
        <v>104</v>
      </c>
    </row>
  </sheetData>
  <mergeCells count="5">
    <mergeCell ref="L3:M3"/>
    <mergeCell ref="D4:D5"/>
    <mergeCell ref="M13:N13"/>
    <mergeCell ref="F14:G14"/>
    <mergeCell ref="M20:N2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85DD4-6EC4-4662-B1CE-C81CF032AA7D}">
  <dimension ref="A1:L122"/>
  <sheetViews>
    <sheetView showGridLines="0" zoomScale="65" zoomScaleNormal="65" workbookViewId="0">
      <selection sqref="A1:K1"/>
    </sheetView>
  </sheetViews>
  <sheetFormatPr defaultRowHeight="14.1"/>
  <cols>
    <col min="1" max="1" width="3.5" customWidth="1"/>
    <col min="10" max="10" width="9.875" customWidth="1"/>
    <col min="11" max="11" width="7" customWidth="1"/>
  </cols>
  <sheetData>
    <row r="1" spans="1:12" s="416" customFormat="1" ht="27">
      <c r="A1" s="660" t="s">
        <v>105</v>
      </c>
      <c r="B1" s="660"/>
      <c r="C1" s="660"/>
      <c r="D1" s="660"/>
      <c r="E1" s="660"/>
      <c r="F1" s="660"/>
      <c r="G1" s="660"/>
      <c r="H1" s="660"/>
      <c r="I1" s="660"/>
      <c r="J1" s="660"/>
      <c r="K1" s="660"/>
    </row>
    <row r="2" spans="1:12" s="416" customFormat="1" ht="81.95" customHeight="1">
      <c r="A2" s="397"/>
      <c r="B2" s="494" t="s">
        <v>106</v>
      </c>
      <c r="C2" s="495"/>
      <c r="D2" s="495"/>
      <c r="E2" s="495"/>
      <c r="F2" s="495"/>
      <c r="G2" s="495"/>
      <c r="H2" s="495"/>
      <c r="I2" s="495"/>
      <c r="J2" s="495"/>
      <c r="K2" s="439"/>
      <c r="L2" s="417"/>
    </row>
    <row r="3" spans="1:12" s="416" customFormat="1" ht="144" customHeight="1">
      <c r="A3" s="56"/>
      <c r="B3" s="497" t="s">
        <v>107</v>
      </c>
      <c r="C3" s="497"/>
      <c r="D3" s="497"/>
      <c r="E3" s="497"/>
      <c r="F3" s="497"/>
      <c r="G3" s="497"/>
      <c r="H3" s="497"/>
      <c r="I3" s="497"/>
      <c r="J3" s="497"/>
      <c r="K3" s="56"/>
    </row>
    <row r="4" spans="1:12" s="416" customFormat="1" ht="21">
      <c r="A4" s="56"/>
      <c r="B4" s="494" t="s">
        <v>108</v>
      </c>
      <c r="C4" s="497"/>
      <c r="D4" s="497"/>
      <c r="E4" s="497"/>
      <c r="F4" s="497"/>
      <c r="G4" s="497"/>
      <c r="H4" s="497"/>
      <c r="I4" s="396"/>
      <c r="J4" s="396"/>
      <c r="K4" s="56"/>
    </row>
    <row r="5" spans="1:12" s="416" customFormat="1" ht="42.95" customHeight="1">
      <c r="A5" s="56"/>
      <c r="B5" s="497" t="s">
        <v>109</v>
      </c>
      <c r="C5" s="497"/>
      <c r="D5" s="497"/>
      <c r="E5" s="497"/>
      <c r="F5" s="497"/>
      <c r="G5" s="497"/>
      <c r="H5" s="497"/>
      <c r="I5" s="497"/>
      <c r="J5" s="497"/>
      <c r="K5" s="56"/>
    </row>
    <row r="6" spans="1:12" s="416" customFormat="1" ht="27" customHeight="1">
      <c r="A6" s="56"/>
      <c r="B6" s="496" t="s">
        <v>110</v>
      </c>
      <c r="C6" s="496"/>
      <c r="D6" s="496"/>
      <c r="E6" s="496"/>
      <c r="F6" s="496"/>
      <c r="G6" s="496"/>
      <c r="H6" s="496"/>
      <c r="I6" s="496"/>
      <c r="J6" s="496"/>
      <c r="K6" s="56"/>
    </row>
    <row r="7" spans="1:12" s="416" customFormat="1" ht="36.950000000000003" customHeight="1">
      <c r="A7" s="56"/>
      <c r="B7" s="496" t="s">
        <v>111</v>
      </c>
      <c r="C7" s="496"/>
      <c r="D7" s="496"/>
      <c r="E7" s="496"/>
      <c r="F7" s="496"/>
      <c r="G7" s="496"/>
      <c r="H7" s="496"/>
      <c r="I7" s="496"/>
      <c r="J7" s="496"/>
      <c r="K7" s="56"/>
    </row>
    <row r="8" spans="1:12" s="416" customForma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</row>
    <row r="9" spans="1:12" s="416" customFormat="1"/>
    <row r="10" spans="1:12" s="416" customFormat="1"/>
    <row r="11" spans="1:12" s="416" customFormat="1"/>
    <row r="12" spans="1:12" s="416" customFormat="1"/>
    <row r="13" spans="1:12" s="416" customFormat="1"/>
    <row r="14" spans="1:12" s="416" customFormat="1"/>
    <row r="15" spans="1:12" s="416" customFormat="1"/>
    <row r="16" spans="1:12" s="416" customFormat="1"/>
    <row r="17" s="416" customFormat="1"/>
    <row r="18" s="416" customFormat="1"/>
    <row r="19" s="416" customFormat="1"/>
    <row r="20" s="416" customFormat="1"/>
    <row r="21" s="416" customFormat="1"/>
    <row r="22" s="416" customFormat="1"/>
    <row r="23" s="416" customFormat="1"/>
    <row r="24" s="416" customFormat="1"/>
    <row r="25" s="416" customFormat="1"/>
    <row r="26" s="416" customFormat="1"/>
    <row r="27" s="416" customFormat="1"/>
    <row r="28" s="416" customFormat="1"/>
    <row r="29" s="416" customFormat="1"/>
    <row r="30" s="416" customFormat="1"/>
    <row r="31" s="416" customFormat="1"/>
    <row r="32" s="416" customFormat="1"/>
    <row r="33" s="416" customFormat="1"/>
    <row r="34" s="416" customFormat="1"/>
    <row r="35" s="416" customFormat="1"/>
    <row r="36" s="416" customFormat="1"/>
    <row r="37" s="416" customFormat="1"/>
    <row r="38" s="416" customFormat="1"/>
    <row r="39" s="416" customFormat="1"/>
    <row r="40" s="416" customFormat="1"/>
    <row r="41" s="416" customFormat="1"/>
    <row r="42" s="416" customFormat="1"/>
    <row r="43" s="416" customFormat="1"/>
    <row r="44" s="416" customFormat="1"/>
    <row r="45" s="416" customFormat="1"/>
    <row r="46" s="416" customFormat="1"/>
    <row r="47" s="416" customFormat="1"/>
    <row r="48" s="416" customFormat="1"/>
    <row r="49" s="416" customFormat="1"/>
    <row r="50" s="416" customFormat="1"/>
    <row r="51" s="416" customFormat="1"/>
    <row r="52" s="416" customFormat="1"/>
    <row r="53" s="416" customFormat="1"/>
    <row r="54" s="416" customFormat="1"/>
    <row r="55" s="416" customFormat="1"/>
    <row r="56" s="416" customFormat="1"/>
    <row r="57" s="416" customFormat="1"/>
    <row r="58" s="416" customFormat="1"/>
    <row r="59" s="416" customFormat="1"/>
    <row r="60" s="416" customFormat="1"/>
    <row r="61" s="416" customFormat="1"/>
    <row r="62" s="416" customFormat="1"/>
    <row r="63" s="416" customFormat="1"/>
    <row r="64" s="416" customFormat="1"/>
    <row r="65" s="416" customFormat="1"/>
    <row r="66" s="416" customFormat="1"/>
    <row r="67" s="416" customFormat="1"/>
    <row r="68" s="416" customFormat="1"/>
    <row r="69" s="416" customFormat="1"/>
    <row r="70" s="416" customFormat="1"/>
    <row r="71" s="416" customFormat="1"/>
    <row r="72" s="416" customFormat="1"/>
    <row r="73" s="416" customFormat="1"/>
    <row r="74" s="416" customFormat="1"/>
    <row r="75" s="416" customFormat="1"/>
    <row r="76" s="416" customFormat="1"/>
    <row r="77" s="416" customFormat="1"/>
    <row r="78" s="416" customFormat="1"/>
    <row r="79" s="416" customFormat="1"/>
    <row r="80" s="416" customFormat="1"/>
    <row r="81" s="416" customFormat="1"/>
    <row r="82" s="416" customFormat="1"/>
    <row r="83" s="416" customFormat="1"/>
    <row r="84" s="416" customFormat="1"/>
    <row r="85" s="416" customFormat="1"/>
    <row r="86" s="416" customFormat="1"/>
    <row r="87" s="416" customFormat="1"/>
    <row r="88" s="416" customFormat="1"/>
    <row r="89" s="416" customFormat="1"/>
    <row r="90" s="416" customFormat="1"/>
    <row r="91" s="416" customFormat="1"/>
    <row r="92" s="416" customFormat="1"/>
    <row r="93" s="416" customFormat="1"/>
    <row r="94" s="416" customFormat="1"/>
    <row r="95" s="416" customFormat="1"/>
    <row r="96" s="416" customFormat="1"/>
    <row r="97" s="416" customFormat="1"/>
    <row r="98" s="416" customFormat="1"/>
    <row r="99" s="416" customFormat="1"/>
    <row r="100" s="416" customFormat="1"/>
    <row r="101" s="416" customFormat="1"/>
    <row r="102" s="416" customFormat="1"/>
    <row r="103" s="416" customFormat="1"/>
    <row r="104" s="416" customFormat="1"/>
    <row r="105" s="416" customFormat="1"/>
    <row r="106" s="416" customFormat="1"/>
    <row r="107" s="416" customFormat="1"/>
    <row r="108" s="416" customFormat="1"/>
    <row r="109" s="416" customFormat="1"/>
    <row r="110" s="416" customFormat="1"/>
    <row r="111" s="416" customFormat="1"/>
    <row r="112" s="416" customFormat="1"/>
    <row r="113" s="416" customFormat="1"/>
    <row r="114" s="416" customFormat="1"/>
    <row r="115" s="416" customFormat="1"/>
    <row r="116" s="416" customFormat="1"/>
    <row r="117" s="416" customFormat="1"/>
    <row r="118" s="416" customFormat="1"/>
    <row r="119" s="416" customFormat="1"/>
    <row r="120" s="416" customFormat="1"/>
    <row r="121" s="416" customFormat="1"/>
    <row r="122" s="416" customFormat="1"/>
  </sheetData>
  <sheetProtection sheet="1" objects="1" scenarios="1"/>
  <mergeCells count="7">
    <mergeCell ref="A1:K1"/>
    <mergeCell ref="B2:J2"/>
    <mergeCell ref="B7:J7"/>
    <mergeCell ref="B4:H4"/>
    <mergeCell ref="B5:J5"/>
    <mergeCell ref="B6:J6"/>
    <mergeCell ref="B3:J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71F7F-8647-4DAB-8A0C-A2801D1DEB08}">
  <dimension ref="A1:AD123"/>
  <sheetViews>
    <sheetView showGridLines="0" tabSelected="1" zoomScale="50" zoomScaleNormal="50" workbookViewId="0">
      <selection activeCell="G30" sqref="G30"/>
    </sheetView>
  </sheetViews>
  <sheetFormatPr defaultRowHeight="14.1"/>
  <cols>
    <col min="2" max="2" width="26.875" customWidth="1"/>
    <col min="3" max="3" width="64.375" customWidth="1"/>
    <col min="4" max="4" width="77.875" customWidth="1"/>
    <col min="5" max="6" width="53.25" customWidth="1"/>
    <col min="7" max="7" width="27.75" customWidth="1"/>
    <col min="8" max="8" width="15.75" style="56" customWidth="1"/>
    <col min="9" max="9" width="15.875" customWidth="1"/>
    <col min="10" max="10" width="15.625" customWidth="1"/>
    <col min="11" max="11" width="11.625" customWidth="1"/>
  </cols>
  <sheetData>
    <row r="1" spans="1:16">
      <c r="H1" s="423"/>
      <c r="I1" s="423"/>
      <c r="J1" s="423"/>
      <c r="K1" s="423"/>
      <c r="L1" s="423"/>
      <c r="M1" s="423"/>
      <c r="N1" s="423"/>
      <c r="O1" s="423"/>
      <c r="P1" s="423"/>
    </row>
    <row r="2" spans="1:16" ht="39" customHeight="1">
      <c r="B2" s="517" t="s">
        <v>105</v>
      </c>
      <c r="C2" s="517"/>
      <c r="D2" s="517"/>
      <c r="E2" s="518"/>
      <c r="F2" s="468"/>
      <c r="H2" s="423"/>
      <c r="I2" s="423"/>
      <c r="J2" s="423"/>
      <c r="K2" s="423"/>
      <c r="L2" s="423"/>
      <c r="M2" s="423"/>
      <c r="N2" s="423"/>
      <c r="O2" s="423"/>
      <c r="P2" s="423"/>
    </row>
    <row r="3" spans="1:16" ht="72.95" customHeight="1">
      <c r="B3" s="519" t="s">
        <v>112</v>
      </c>
      <c r="C3" s="519"/>
      <c r="D3" s="519"/>
      <c r="E3" s="519"/>
      <c r="F3" s="462"/>
      <c r="H3" s="423"/>
      <c r="I3" s="423"/>
      <c r="J3" s="423"/>
      <c r="K3" s="423"/>
      <c r="L3" s="423"/>
      <c r="M3" s="423"/>
      <c r="N3" s="423"/>
      <c r="O3" s="423"/>
      <c r="P3" s="423"/>
    </row>
    <row r="4" spans="1:16" ht="24" customHeight="1">
      <c r="B4" s="520" t="str">
        <f>HYPERLINK("#'Dropdown'!A1","3) คลิกที่นี่  หากต้องการดูรายละเอียดตัวเลือก Drop Down")</f>
        <v>3) คลิกที่นี่  หากต้องการดูรายละเอียดตัวเลือก Drop Down</v>
      </c>
      <c r="C4" s="520"/>
      <c r="D4" s="520"/>
      <c r="E4" s="520"/>
      <c r="F4" s="463"/>
      <c r="G4" s="310"/>
      <c r="H4" s="423"/>
      <c r="I4" s="423"/>
      <c r="J4" s="423"/>
      <c r="K4" s="423"/>
      <c r="L4" s="423"/>
      <c r="M4" s="423"/>
      <c r="N4" s="423"/>
      <c r="O4" s="423"/>
      <c r="P4" s="423"/>
    </row>
    <row r="5" spans="1:16" s="306" customFormat="1" ht="26.1" customHeight="1">
      <c r="B5" s="520" t="str">
        <f>HYPERLINK("#'Calculation Sheet'!A1","4) คลิกที่นี่ หากท่านต้องการดูรายละเอียดการคำนวนเพื่อประเมินระดับชั้นข้อมูล   ")</f>
        <v xml:space="preserve">4) คลิกที่นี่ หากท่านต้องการดูรายละเอียดการคำนวนเพื่อประเมินระดับชั้นข้อมูล   </v>
      </c>
      <c r="C5" s="520"/>
      <c r="D5" s="312"/>
      <c r="E5" s="312"/>
      <c r="F5" s="312"/>
      <c r="G5" s="311"/>
      <c r="H5" s="424"/>
      <c r="I5" s="424"/>
      <c r="J5" s="424"/>
      <c r="K5" s="424"/>
      <c r="L5" s="424"/>
      <c r="M5" s="424"/>
      <c r="N5" s="424"/>
      <c r="O5" s="424"/>
      <c r="P5" s="424"/>
    </row>
    <row r="6" spans="1:16" ht="125.1" customHeight="1">
      <c r="B6" s="521" t="s">
        <v>113</v>
      </c>
      <c r="C6" s="521"/>
      <c r="D6" s="521"/>
      <c r="E6" s="521"/>
      <c r="F6" s="440"/>
      <c r="H6" s="423"/>
      <c r="I6" s="423"/>
      <c r="J6" s="423"/>
      <c r="K6" s="423"/>
      <c r="L6" s="423"/>
      <c r="M6" s="423"/>
      <c r="N6" s="423"/>
      <c r="O6" s="423"/>
      <c r="P6" s="423"/>
    </row>
    <row r="7" spans="1:16" ht="20.45" customHeight="1">
      <c r="B7" s="521" t="s">
        <v>114</v>
      </c>
      <c r="C7" s="521"/>
      <c r="D7" s="521"/>
      <c r="E7" s="440"/>
      <c r="F7" s="440"/>
      <c r="H7" s="423"/>
      <c r="I7" s="423"/>
      <c r="J7" s="423"/>
      <c r="K7" s="423"/>
      <c r="L7" s="423"/>
      <c r="M7" s="423"/>
      <c r="N7" s="423"/>
      <c r="O7" s="423"/>
      <c r="P7" s="423"/>
    </row>
    <row r="8" spans="1:16" ht="24" customHeight="1">
      <c r="B8" s="521" t="s">
        <v>115</v>
      </c>
      <c r="C8" s="521"/>
      <c r="D8" s="521"/>
      <c r="E8" s="440"/>
      <c r="F8" s="440"/>
      <c r="H8" s="423"/>
      <c r="I8" s="423"/>
      <c r="J8" s="423"/>
      <c r="K8" s="423"/>
      <c r="L8" s="423"/>
      <c r="M8" s="423"/>
      <c r="N8" s="423"/>
      <c r="O8" s="423"/>
      <c r="P8" s="423"/>
    </row>
    <row r="9" spans="1:16" ht="24" customHeight="1">
      <c r="B9" s="521" t="s">
        <v>116</v>
      </c>
      <c r="C9" s="521"/>
      <c r="D9" s="521"/>
      <c r="E9" s="521"/>
      <c r="F9" s="440"/>
      <c r="H9" s="423"/>
      <c r="I9" s="423"/>
      <c r="J9" s="423"/>
      <c r="K9" s="423"/>
      <c r="L9" s="423"/>
      <c r="M9" s="423"/>
      <c r="N9" s="423"/>
      <c r="O9" s="423"/>
      <c r="P9" s="423"/>
    </row>
    <row r="10" spans="1:16" ht="26.1" customHeight="1">
      <c r="H10" s="423"/>
      <c r="I10" s="423"/>
      <c r="J10" s="423"/>
      <c r="K10" s="423"/>
      <c r="L10" s="423"/>
      <c r="M10" s="423"/>
      <c r="N10" s="423"/>
      <c r="O10" s="423"/>
      <c r="P10" s="423"/>
    </row>
    <row r="11" spans="1:16" ht="27" customHeight="1">
      <c r="B11" s="307"/>
      <c r="C11" s="308"/>
      <c r="D11" s="308"/>
      <c r="E11" s="308"/>
      <c r="F11" s="308"/>
      <c r="H11" s="423"/>
      <c r="I11" s="423"/>
      <c r="J11" s="423"/>
      <c r="K11" s="423"/>
      <c r="L11" s="423"/>
      <c r="M11" s="423"/>
      <c r="N11" s="423"/>
      <c r="O11" s="423"/>
      <c r="P11" s="423"/>
    </row>
    <row r="12" spans="1:16" ht="33.950000000000003" customHeight="1">
      <c r="B12" s="364" t="s">
        <v>117</v>
      </c>
      <c r="C12" s="514" t="s">
        <v>118</v>
      </c>
      <c r="D12" s="514"/>
      <c r="E12" s="514"/>
      <c r="F12" s="469"/>
      <c r="H12" s="423"/>
      <c r="I12" s="423"/>
      <c r="J12" s="423"/>
      <c r="K12" s="423"/>
      <c r="L12" s="423"/>
      <c r="M12" s="423"/>
      <c r="N12" s="423"/>
      <c r="O12" s="423"/>
      <c r="P12" s="423"/>
    </row>
    <row r="13" spans="1:16" ht="32.450000000000003" customHeight="1">
      <c r="B13" s="364" t="s">
        <v>119</v>
      </c>
      <c r="C13" s="514" t="s">
        <v>120</v>
      </c>
      <c r="D13" s="514"/>
      <c r="E13" s="514"/>
      <c r="F13" s="469"/>
      <c r="H13" s="423"/>
      <c r="I13" s="423"/>
      <c r="J13" s="423"/>
      <c r="K13" s="423"/>
      <c r="L13" s="423"/>
      <c r="M13" s="423"/>
      <c r="N13" s="423"/>
      <c r="O13" s="423"/>
      <c r="P13" s="423"/>
    </row>
    <row r="14" spans="1:16" ht="25.5" customHeight="1">
      <c r="C14" s="296"/>
      <c r="H14" s="425"/>
      <c r="I14" s="423"/>
      <c r="J14" s="423"/>
      <c r="K14" s="423"/>
      <c r="L14" s="423"/>
      <c r="M14" s="423"/>
      <c r="N14" s="423"/>
      <c r="O14" s="423"/>
      <c r="P14" s="423"/>
    </row>
    <row r="15" spans="1:16" ht="43.5" customHeight="1">
      <c r="A15" s="515"/>
      <c r="B15" s="516"/>
      <c r="C15" s="313" t="s">
        <v>121</v>
      </c>
      <c r="D15" s="314" t="s">
        <v>122</v>
      </c>
      <c r="H15" s="423"/>
      <c r="I15" s="423"/>
      <c r="J15" s="423"/>
      <c r="K15" s="423"/>
      <c r="L15" s="423"/>
      <c r="M15" s="423"/>
      <c r="N15" s="423"/>
      <c r="O15" s="423"/>
      <c r="P15" s="423"/>
    </row>
    <row r="16" spans="1:16" ht="43.5" customHeight="1">
      <c r="A16" s="46"/>
      <c r="B16" s="56"/>
      <c r="C16" s="315" t="s">
        <v>123</v>
      </c>
      <c r="D16" s="316" t="s">
        <v>124</v>
      </c>
      <c r="E16" s="317"/>
      <c r="F16" s="314" t="str">
        <f>IF(TRIM(D18)="","",
   IF(TRIM(D18)="ใช่","ถ้าต้องการทบทวนให้เลือกเซลล์ F18 แล้วกด Delete บนคีย์บอร์ด
(จะล้างเฉพาะข้อมูล ไม่ลบการตั้งค่า)",
      IF(TRIM(D18)="ไม่","","")
   )
)</f>
        <v/>
      </c>
      <c r="H16" s="423"/>
      <c r="I16" s="423"/>
      <c r="J16" s="423"/>
      <c r="K16" s="423"/>
      <c r="L16" s="423"/>
      <c r="M16" s="423"/>
      <c r="N16" s="423"/>
      <c r="O16" s="423"/>
      <c r="P16" s="423"/>
    </row>
    <row r="17" spans="1:30" s="294" customFormat="1" ht="38.450000000000003" customHeight="1">
      <c r="A17" s="318"/>
      <c r="B17" s="319" t="s">
        <v>125</v>
      </c>
      <c r="C17" s="320" t="s">
        <v>126</v>
      </c>
      <c r="D17" s="443"/>
      <c r="E17" s="476" t="str">
        <f>IF(TRIM(D18)="","",
   IF(TRIM(D18)="ใช่","คำถามเพิ่มเติม",
      IF(TRIM(D18)="ไม่","","")
   )
)</f>
        <v/>
      </c>
      <c r="F17" s="476" t="str">
        <f>IF(TRIM(D18)="","",
   IF(TRIM(D18)="ใช่","จงเลือกคำตอบ",
      IF(TRIM(D18)="ไม่","","")
   )
)</f>
        <v/>
      </c>
      <c r="H17" s="426"/>
      <c r="I17" s="426"/>
      <c r="J17" s="426"/>
      <c r="K17" s="426"/>
      <c r="L17" s="426"/>
      <c r="M17" s="426"/>
      <c r="N17" s="426"/>
      <c r="O17" s="426"/>
      <c r="P17" s="426"/>
    </row>
    <row r="18" spans="1:30" s="294" customFormat="1" ht="38.450000000000003" customHeight="1">
      <c r="A18" s="318"/>
      <c r="B18" s="319" t="str">
        <f>IF(TRIM(D17)="","",
   IF(TRIM(D17)="ใช่","",
      IF(TRIM(D17)="ไม่","2)","")
   )
)</f>
        <v/>
      </c>
      <c r="C18" s="321" t="str">
        <f>IF(TRIM(D17)="","",
   IF(TRIM(D17)="ใช่","จบคำถามในส่วนที่ 1",
      IF(TRIM(D17)="ไม่","เป็นข้อมูลตาม พรบ.ข้อมูลข่าวสารฯ มาตรา 15 (1) ความมั่นคงของรัฐหรือไม่ ?","")
   )
)</f>
        <v/>
      </c>
      <c r="D18" s="443"/>
      <c r="E18" s="321" t="str">
        <f>IF(TRIM(D18)="","",
   IF(TRIM(D18)="ใช่"," 2.1) เป็นข้อมูลที่สอดคล้องตามนโยบาย และแผนความมั่นคงแห่งชาติฯ* หรือไม่? ",
      IF(TRIM(D18)="ไม่","","")
   )
)</f>
        <v/>
      </c>
      <c r="F18" s="443"/>
      <c r="H18" s="426"/>
      <c r="I18" s="426"/>
      <c r="J18" s="426"/>
      <c r="K18" s="426"/>
      <c r="L18" s="426"/>
      <c r="M18" s="426"/>
      <c r="N18" s="426"/>
      <c r="O18" s="426"/>
      <c r="P18" s="426"/>
    </row>
    <row r="19" spans="1:30" s="294" customFormat="1" ht="38.450000000000003" customHeight="1">
      <c r="A19" s="318"/>
      <c r="B19" s="319" t="str">
        <f>IF(TRIM(D18)="","",
   IF(TRIM(D18)="ใช่","",
      IF(TRIM(D18)="ไม่","3)","")
   )
)</f>
        <v/>
      </c>
      <c r="C19" s="482" t="str">
        <f>IF(TRIM(CLEAN(D18))="",
    "",
    IF(EXACT(TRIM(CLEAN(D18)),"ไม่"),
        IF(TRIM(CLEAN(F18))="",
            "ห้ามเปิดเผยตามมาตรา 15 ตาม พรบ.ข่าวสารฯ และมีการกำหนดชั้นความลับหรือไม่?",
            ""
        ),
        IF(AND(EXACT(TRIM(CLEAN(D18)),"ใช่"),
               OR(EXACT(TRIM(CLEAN(F18)),"ใช่"),EXACT(TRIM(CLEAN(F18)),"ไม่"))),
           "จบคำถามในส่วนที่ 1",
           ""
        )
    )
)</f>
        <v/>
      </c>
      <c r="D19" s="443"/>
      <c r="E19" s="293"/>
      <c r="F19" s="293"/>
      <c r="G19" s="293"/>
      <c r="H19" s="427"/>
      <c r="I19" s="428"/>
      <c r="J19" s="428"/>
      <c r="K19" s="426"/>
      <c r="L19" s="426"/>
      <c r="M19" s="426"/>
      <c r="N19" s="426"/>
      <c r="O19" s="426"/>
      <c r="P19" s="426"/>
    </row>
    <row r="20" spans="1:30" ht="40.5" customHeight="1">
      <c r="A20" s="46"/>
      <c r="B20" s="319" t="str">
        <f>IF(TRIM(D19)="","",IF(TRIM(D19)="ไม่",
"4)",
IF(TRIM(D19)="ใช่",""
)))</f>
        <v/>
      </c>
      <c r="C20" s="321" t="str">
        <f>IF(TRIM(D19)="","",IF(TRIM(D19)="ไม่",
"เป็นข้อมูลส่วนบุคคลหรือไม่ ?",
IF(TRIM(D19)="ใช่","จบคำถามในส่วนที่ 1"
)))</f>
        <v/>
      </c>
      <c r="D20" s="443"/>
      <c r="E20" s="270"/>
      <c r="F20" s="270"/>
      <c r="G20" s="270"/>
      <c r="H20" s="429"/>
      <c r="I20" s="430"/>
      <c r="J20" s="430"/>
      <c r="K20" s="423"/>
      <c r="L20" s="423"/>
      <c r="M20" s="423"/>
      <c r="N20" s="423"/>
      <c r="O20" s="423"/>
      <c r="P20" s="423"/>
    </row>
    <row r="21" spans="1:30" ht="30.6" customHeight="1">
      <c r="A21" s="46"/>
      <c r="B21" s="319" t="str">
        <f>IF(TRIM(D20)="","",
   IF(TRIM(D20)="ไม่","5)",
      IF(TRIM(D20)="ใช่"," ","")
   )
)</f>
        <v/>
      </c>
      <c r="C21" s="321" t="str">
        <f>IF(TRIM(D20)="","",
   IF(TRIM(D20)="ไม่","ห้ามเปิดเผยตามมาตรา 15 ตาม พรบ.ข่าวสารฯ หรือไม่ ?",
      IF(TRIM(D20)="ใช่","จบคำถามในส่วนที่ 1","")
   )
)</f>
        <v/>
      </c>
      <c r="D21" s="443"/>
      <c r="E21" s="270"/>
      <c r="F21" s="270"/>
      <c r="H21" s="423"/>
      <c r="I21" s="423"/>
      <c r="J21" s="423"/>
      <c r="K21" s="423"/>
      <c r="L21" s="423"/>
      <c r="M21" s="423"/>
      <c r="N21" s="423"/>
      <c r="O21" s="423"/>
      <c r="P21" s="423"/>
    </row>
    <row r="22" spans="1:30" ht="38.450000000000003" customHeight="1">
      <c r="A22" s="46"/>
      <c r="B22" s="319" t="str">
        <f>IF(TRIM(D21)="","",
   IF(TRIM(D21)="ไม่","6)",
      IF(TRIM(D21)="ใช่"," ","")
   )
)</f>
        <v/>
      </c>
      <c r="C22" s="321" t="str">
        <f>IF(TRIM(D21)="","",
   IF(TRIM(D21)="ไม่","ต้องได้รับอนุญาตก่อนเผยแพร่ หรือไม่",
      IF(TRIM(D21)="ใช่","จบคำถามในส่วนที่ 1","")
   )
)</f>
        <v/>
      </c>
      <c r="D22" s="443"/>
      <c r="H22" s="423"/>
      <c r="I22" s="423"/>
      <c r="J22" s="423"/>
      <c r="K22" s="423"/>
      <c r="L22" s="423"/>
      <c r="M22" s="423"/>
      <c r="N22" s="423"/>
      <c r="O22" s="423"/>
      <c r="P22" s="423"/>
    </row>
    <row r="23" spans="1:30" ht="32.450000000000003" customHeight="1">
      <c r="A23" s="46"/>
      <c r="B23" s="56"/>
      <c r="C23" s="321" t="str">
        <f>IF(TRIM(D22)="","",
   IF(TRIM(D22)="ใช่","จบคำถามในส่วนที่ 1",
      IF(TRIM(D22)="ไม่","จบคำถามในส่วนที่ 1","")
   )
)</f>
        <v/>
      </c>
      <c r="D23" s="104"/>
      <c r="E23" s="270"/>
      <c r="F23" s="270"/>
      <c r="H23" s="423"/>
      <c r="I23" s="423"/>
      <c r="J23" s="423"/>
      <c r="K23" s="423"/>
      <c r="L23" s="423"/>
      <c r="M23" s="423"/>
      <c r="N23" s="423"/>
      <c r="O23" s="423"/>
      <c r="P23" s="423"/>
    </row>
    <row r="24" spans="1:30" s="56" customFormat="1" ht="27.95" customHeight="1">
      <c r="A24" s="46"/>
      <c r="E24" s="324"/>
      <c r="F24" s="324"/>
      <c r="G24" s="265"/>
      <c r="H24" s="429"/>
      <c r="I24" s="431"/>
      <c r="J24" s="431"/>
      <c r="K24" s="423"/>
      <c r="L24" s="423"/>
      <c r="M24" s="423"/>
      <c r="N24" s="423"/>
      <c r="O24" s="423"/>
      <c r="P24" s="423"/>
      <c r="Q24"/>
      <c r="R24"/>
      <c r="S24"/>
      <c r="T24"/>
      <c r="U24"/>
      <c r="V24"/>
      <c r="W24"/>
      <c r="X24"/>
      <c r="Y24"/>
      <c r="Z24"/>
      <c r="AA24"/>
      <c r="AB24"/>
      <c r="AC24"/>
      <c r="AD24"/>
    </row>
    <row r="25" spans="1:30" ht="26.45" customHeight="1">
      <c r="A25" s="46"/>
      <c r="B25" s="56"/>
      <c r="H25" s="423"/>
      <c r="I25" s="423"/>
      <c r="J25" s="423"/>
      <c r="K25" s="423"/>
      <c r="L25" s="423"/>
      <c r="M25" s="423"/>
      <c r="N25" s="423"/>
      <c r="O25" s="423"/>
      <c r="P25" s="423"/>
    </row>
    <row r="26" spans="1:30" ht="29.1" customHeight="1">
      <c r="A26" s="46"/>
      <c r="B26" s="56"/>
      <c r="C26" s="498" t="str">
        <f>'Calculation Sheet'!B22</f>
        <v/>
      </c>
      <c r="D26" s="498"/>
      <c r="E26" s="498"/>
      <c r="F26" s="465"/>
      <c r="H26" s="432"/>
      <c r="I26" s="423"/>
      <c r="J26" s="423"/>
      <c r="K26" s="423"/>
      <c r="L26" s="423"/>
      <c r="M26" s="423"/>
      <c r="N26" s="423"/>
      <c r="O26" s="423"/>
      <c r="P26" s="423"/>
    </row>
    <row r="27" spans="1:30" ht="40.5" customHeight="1">
      <c r="A27" s="46"/>
      <c r="B27" s="56"/>
      <c r="C27" s="508" t="str">
        <f>IF(
  LEN(TRIM(C28))=0,
  "",
  IF(
    OR(ISNUMBER(SEARCH("เปิดเผย",C28)), ISNUMBER(SEARCH("มั่นคง",C28))),
    "" &amp; T("จบการทำแบบประเมิน"),
    IF(
      ISNUMBER(SEARCH("ประเมิน",C28)),
      HYPERLINK("#'Assessment Tools'!B40","คลิกที่นี่ เพื่อประเมินในส่วนที่ 2"),
      ""
    )
  )
)</f>
        <v/>
      </c>
      <c r="D27" s="509"/>
      <c r="E27" s="509"/>
      <c r="F27" s="80"/>
      <c r="G27" s="299"/>
      <c r="H27" s="432"/>
      <c r="I27" s="423"/>
      <c r="J27" s="423"/>
      <c r="K27" s="423"/>
      <c r="L27" s="423"/>
      <c r="M27" s="423"/>
      <c r="N27" s="423"/>
      <c r="O27" s="423"/>
      <c r="P27" s="423"/>
    </row>
    <row r="28" spans="1:30" ht="45" customHeight="1">
      <c r="A28" s="46"/>
      <c r="B28" s="56"/>
      <c r="C28" s="499" t="str">
        <f>'Calculation Sheet'!B24</f>
        <v/>
      </c>
      <c r="D28" s="499"/>
      <c r="E28" s="499"/>
      <c r="F28" s="80"/>
      <c r="G28" s="297"/>
      <c r="H28" s="433"/>
      <c r="I28" s="423"/>
      <c r="J28" s="423"/>
      <c r="K28" s="423"/>
      <c r="L28" s="423"/>
      <c r="M28" s="423"/>
      <c r="N28" s="423"/>
      <c r="O28" s="423"/>
      <c r="P28" s="423"/>
    </row>
    <row r="29" spans="1:30" ht="35.450000000000003" customHeight="1">
      <c r="A29" s="46"/>
      <c r="B29" s="56"/>
      <c r="C29" s="326" t="str">
        <f>IF(
LEN(TRIM(C28))=0,
"",
IF(
ISNUMBER(SEARCH("เปิดเผย",C28)),
"หมวดหมู่ข้อมูล",
IF(
OR(
ISNUMBER(SEARCH("มั่นคง",C28)),
ISNUMBER(SEARCH("มั่งคง",C28))
),
"หมวดหมู่ข้อมูล",
""
)
))</f>
        <v/>
      </c>
      <c r="D29" s="327" t="str">
        <f>'Calculation Sheet'!C25</f>
        <v/>
      </c>
      <c r="E29" s="327" t="str">
        <f>'Calculation Sheet'!D25</f>
        <v/>
      </c>
      <c r="F29" s="327"/>
      <c r="G29" s="300"/>
      <c r="H29" s="423"/>
      <c r="I29" s="423"/>
      <c r="J29" s="423"/>
      <c r="K29" s="423"/>
      <c r="L29" s="423"/>
      <c r="M29" s="423"/>
      <c r="N29" s="423"/>
      <c r="O29" s="423"/>
      <c r="P29" s="423"/>
    </row>
    <row r="30" spans="1:30" ht="51" customHeight="1">
      <c r="A30" s="46"/>
      <c r="B30" s="56"/>
      <c r="C30" s="328" t="str">
        <f>'Calculation Sheet'!B26</f>
        <v/>
      </c>
      <c r="D30" s="328" t="str">
        <f>'Calculation Sheet'!C26</f>
        <v/>
      </c>
      <c r="E30" s="80" t="str">
        <f>'Calculation Sheet'!D26</f>
        <v/>
      </c>
      <c r="H30" s="423"/>
      <c r="I30" s="423"/>
      <c r="J30" s="423"/>
      <c r="K30" s="423"/>
      <c r="L30" s="423"/>
      <c r="M30" s="423"/>
      <c r="N30" s="423"/>
      <c r="O30" s="423"/>
      <c r="P30" s="423"/>
    </row>
    <row r="31" spans="1:30" ht="72.95" customHeight="1">
      <c r="A31" s="46"/>
      <c r="B31" s="56"/>
      <c r="H31" s="423"/>
      <c r="I31" s="423"/>
      <c r="J31" s="423"/>
      <c r="K31" s="423"/>
      <c r="L31" s="423"/>
      <c r="M31" s="423"/>
      <c r="N31" s="423"/>
      <c r="O31" s="423"/>
      <c r="P31" s="423"/>
    </row>
    <row r="32" spans="1:30">
      <c r="A32" s="46"/>
      <c r="H32" s="423"/>
      <c r="I32" s="423"/>
      <c r="J32" s="423"/>
      <c r="K32" s="423"/>
      <c r="L32" s="423"/>
      <c r="M32" s="423"/>
      <c r="N32" s="423"/>
      <c r="O32" s="423"/>
      <c r="P32" s="423"/>
    </row>
    <row r="33" spans="1:16">
      <c r="A33" s="46"/>
      <c r="H33" s="423"/>
      <c r="I33" s="423"/>
      <c r="J33" s="423"/>
      <c r="K33" s="423"/>
      <c r="L33" s="423"/>
      <c r="M33" s="423"/>
      <c r="N33" s="423"/>
      <c r="O33" s="423"/>
      <c r="P33" s="423"/>
    </row>
    <row r="34" spans="1:16">
      <c r="A34" s="46"/>
      <c r="H34" s="423"/>
      <c r="I34" s="423"/>
      <c r="J34" s="423"/>
      <c r="K34" s="423"/>
      <c r="L34" s="423"/>
      <c r="M34" s="423"/>
      <c r="N34" s="423"/>
      <c r="O34" s="423"/>
      <c r="P34" s="423"/>
    </row>
    <row r="35" spans="1:16" hidden="1">
      <c r="A35" s="46"/>
      <c r="H35" s="423"/>
      <c r="I35" s="423"/>
      <c r="J35" s="423"/>
      <c r="K35" s="423"/>
      <c r="L35" s="423"/>
      <c r="M35" s="423"/>
      <c r="N35" s="423"/>
      <c r="O35" s="423"/>
      <c r="P35" s="423"/>
    </row>
    <row r="36" spans="1:16" ht="10.5" hidden="1" customHeight="1">
      <c r="A36" s="46"/>
      <c r="H36" s="423"/>
      <c r="I36" s="423"/>
      <c r="J36" s="423"/>
      <c r="K36" s="423"/>
      <c r="L36" s="423"/>
      <c r="M36" s="423"/>
      <c r="N36" s="423"/>
      <c r="O36" s="423"/>
      <c r="P36" s="423"/>
    </row>
    <row r="37" spans="1:16" ht="8.1" hidden="1" customHeight="1">
      <c r="A37" s="46"/>
      <c r="C37" s="330"/>
      <c r="H37" s="423"/>
      <c r="I37" s="423"/>
      <c r="J37" s="423"/>
      <c r="K37" s="423"/>
      <c r="L37" s="423"/>
      <c r="M37" s="423"/>
      <c r="N37" s="423"/>
      <c r="O37" s="423"/>
      <c r="P37" s="423"/>
    </row>
    <row r="38" spans="1:16" ht="32.450000000000003" customHeight="1">
      <c r="A38" s="46"/>
      <c r="C38" s="228"/>
      <c r="H38" s="423"/>
      <c r="I38" s="423"/>
      <c r="J38" s="423"/>
      <c r="K38" s="423"/>
      <c r="L38" s="423"/>
      <c r="M38" s="423"/>
      <c r="N38" s="423"/>
      <c r="O38" s="423"/>
      <c r="P38" s="423"/>
    </row>
    <row r="39" spans="1:16" ht="62.45" customHeight="1">
      <c r="A39" s="661"/>
      <c r="B39" s="661"/>
      <c r="C39" s="510" t="s">
        <v>127</v>
      </c>
      <c r="D39" s="511"/>
      <c r="H39" s="423"/>
      <c r="I39" s="423"/>
      <c r="J39" s="423"/>
      <c r="K39" s="423"/>
      <c r="L39" s="423"/>
      <c r="M39" s="423"/>
      <c r="N39" s="423"/>
      <c r="O39" s="423"/>
      <c r="P39" s="423"/>
    </row>
    <row r="40" spans="1:16" ht="41.1" customHeight="1">
      <c r="A40" s="329"/>
      <c r="C40" s="331" t="s">
        <v>128</v>
      </c>
      <c r="D40" s="332" t="s">
        <v>129</v>
      </c>
      <c r="E40" s="479"/>
      <c r="F40" s="479"/>
      <c r="G40" s="56"/>
      <c r="H40" s="423"/>
      <c r="I40" s="423"/>
      <c r="J40" s="423"/>
      <c r="K40" s="423"/>
      <c r="L40" s="423"/>
      <c r="M40" s="423"/>
      <c r="N40" s="423"/>
      <c r="O40" s="423"/>
      <c r="P40" s="423"/>
    </row>
    <row r="41" spans="1:16" ht="39.6" customHeight="1">
      <c r="A41" s="329"/>
      <c r="C41" s="333" t="s">
        <v>130</v>
      </c>
      <c r="D41" s="444"/>
      <c r="E41" s="323"/>
      <c r="F41" s="323"/>
      <c r="G41" s="56"/>
      <c r="H41" s="423"/>
      <c r="I41" s="423"/>
      <c r="J41" s="423"/>
      <c r="K41" s="423"/>
      <c r="L41" s="423"/>
      <c r="M41" s="423"/>
      <c r="N41" s="423"/>
      <c r="O41" s="423"/>
      <c r="P41" s="423"/>
    </row>
    <row r="42" spans="1:16" ht="39" customHeight="1">
      <c r="A42" s="329"/>
      <c r="C42" s="334" t="s">
        <v>131</v>
      </c>
      <c r="D42" s="444"/>
      <c r="E42" s="323"/>
      <c r="F42" s="323"/>
      <c r="G42" s="56"/>
      <c r="H42" s="423"/>
      <c r="I42" s="423"/>
      <c r="J42" s="423"/>
      <c r="K42" s="423"/>
      <c r="L42" s="423"/>
      <c r="M42" s="423"/>
      <c r="N42" s="423"/>
      <c r="O42" s="423"/>
      <c r="P42" s="423"/>
    </row>
    <row r="43" spans="1:16" ht="33" customHeight="1">
      <c r="A43" s="329"/>
      <c r="C43" s="333" t="s">
        <v>132</v>
      </c>
      <c r="D43" s="444"/>
      <c r="E43" s="323"/>
      <c r="F43" s="323"/>
      <c r="G43" s="56"/>
      <c r="H43" s="423"/>
      <c r="I43" s="423"/>
      <c r="J43" s="423"/>
      <c r="K43" s="423"/>
      <c r="L43" s="423"/>
      <c r="M43" s="423"/>
      <c r="N43" s="423"/>
      <c r="O43" s="423"/>
      <c r="P43" s="423"/>
    </row>
    <row r="44" spans="1:16" ht="40.5" customHeight="1">
      <c r="A44" s="329"/>
      <c r="C44" s="335" t="s">
        <v>133</v>
      </c>
      <c r="D44" s="336" t="str">
        <f>'Calculation Sheet'!C38</f>
        <v/>
      </c>
      <c r="E44" s="337"/>
      <c r="F44" s="337"/>
      <c r="G44" s="271"/>
      <c r="H44" s="423"/>
      <c r="I44" s="423"/>
      <c r="J44" s="423"/>
      <c r="K44" s="423"/>
      <c r="L44" s="423"/>
      <c r="M44" s="423"/>
      <c r="N44" s="423"/>
      <c r="O44" s="423"/>
      <c r="P44" s="423"/>
    </row>
    <row r="45" spans="1:16" ht="42.6" customHeight="1">
      <c r="A45" s="329"/>
      <c r="H45" s="423"/>
      <c r="I45" s="423"/>
      <c r="J45" s="423"/>
      <c r="K45" s="423"/>
      <c r="L45" s="423"/>
      <c r="M45" s="423"/>
      <c r="N45" s="423"/>
      <c r="O45" s="423"/>
      <c r="P45" s="423"/>
    </row>
    <row r="46" spans="1:16" ht="39.950000000000003" customHeight="1">
      <c r="A46" s="329"/>
      <c r="C46" s="338" t="str">
        <f>IFERROR(
    IF(VALUE(TRIM('Calculation Sheet'!D38))&gt;2,
       "ข้อมูลที่สอดคล้องตามนโยบาย และแผนความมั่นคงแห่งชาติฯ",
       ""
    ),
    ""
)</f>
        <v/>
      </c>
      <c r="D46" s="339" t="str">
        <f>IF(
    ISNUMBER(SEARCH("นโยบาย", C46)),
    "จงเลือกคำตอบ ""ใช่"" หรือ ""ไม่"" โดยคลิกที่เซลล์ด้านล่าง" &amp; CHAR(10) &amp;
    "ถ้าต้องการทบทวนให้เลือกเซลล์ C39 แล้วกด Delete บนคีย์บอร์ด" &amp; CHAR(10) &amp;
    "(จะล้างเฉพาะข้อมูล ไม่ลบการตั้งค่า)",
    ""
)</f>
        <v/>
      </c>
      <c r="E46" s="298"/>
      <c r="F46" s="298"/>
      <c r="H46" s="423"/>
      <c r="I46" s="423"/>
      <c r="J46" s="423"/>
      <c r="K46" s="423"/>
      <c r="L46" s="423"/>
      <c r="M46" s="423"/>
      <c r="N46" s="423"/>
      <c r="O46" s="423"/>
      <c r="P46" s="423"/>
    </row>
    <row r="47" spans="1:16" ht="58.5" customHeight="1">
      <c r="A47" s="329"/>
      <c r="C47" s="340" t="str">
        <f>IFERROR(
    IF(VALUE(TRIM('Calculation Sheet'!D38))&gt;2,
       "ข้อมูลที่สอดคล้องตามนโยบาย และแผนความมั่นคงแห่งชาติฯ* หรือไม่ ?",
       ""
    ),
    ""
)</f>
        <v/>
      </c>
      <c r="D47" s="453"/>
      <c r="E47" s="341"/>
      <c r="F47" s="341"/>
      <c r="H47" s="423"/>
      <c r="I47" s="423"/>
      <c r="J47" s="423"/>
      <c r="K47" s="423"/>
      <c r="L47" s="423"/>
      <c r="M47" s="423"/>
      <c r="N47" s="423"/>
      <c r="O47" s="423"/>
      <c r="P47" s="423"/>
    </row>
    <row r="48" spans="1:16" ht="35.1" hidden="1" customHeight="1">
      <c r="A48" s="329"/>
      <c r="C48" s="342"/>
      <c r="D48" s="343"/>
      <c r="E48" s="341"/>
      <c r="F48" s="341"/>
      <c r="H48" s="423"/>
      <c r="I48" s="423"/>
      <c r="J48" s="423"/>
      <c r="K48" s="423"/>
      <c r="L48" s="423"/>
      <c r="M48" s="423"/>
      <c r="N48" s="423"/>
      <c r="O48" s="423"/>
      <c r="P48" s="423"/>
    </row>
    <row r="49" spans="1:16" ht="35.1" customHeight="1">
      <c r="A49" s="329"/>
      <c r="C49" s="342"/>
      <c r="D49" s="343"/>
      <c r="E49" s="341"/>
      <c r="F49" s="341"/>
      <c r="H49" s="423"/>
      <c r="I49" s="423"/>
      <c r="J49" s="423"/>
      <c r="K49" s="423"/>
      <c r="L49" s="423"/>
      <c r="M49" s="423"/>
      <c r="N49" s="423"/>
      <c r="O49" s="423"/>
      <c r="P49" s="423"/>
    </row>
    <row r="50" spans="1:16" ht="35.1" customHeight="1">
      <c r="A50" s="329"/>
      <c r="C50" s="503" t="s">
        <v>134</v>
      </c>
      <c r="D50" s="504"/>
      <c r="E50" s="504"/>
      <c r="F50" s="477"/>
      <c r="H50" s="423"/>
      <c r="I50" s="423"/>
      <c r="J50" s="423"/>
      <c r="K50" s="423"/>
      <c r="L50" s="423"/>
      <c r="M50" s="423"/>
      <c r="N50" s="423"/>
      <c r="O50" s="423"/>
      <c r="P50" s="423"/>
    </row>
    <row r="51" spans="1:16" ht="41.1" customHeight="1">
      <c r="A51" s="329"/>
      <c r="C51" s="501" t="str">
        <f>IF(
  IFERROR(SEARCH("มั่นคง", TRIM(SUBSTITUTE(C52,CHAR(160)," ")))&gt;0, FALSE),
  "จบการทำแบบประเมิน",
  IF(
    IFERROR(SEARCH("ประเมิน", TRIM(SUBSTITUTE(C52,CHAR(160)," ")))&gt;0, FALSE),
    HYPERLINK("#'Assessment Tools'!B63","คลิกที่นี่ เพื่อประเมินในส่วนที่ 3"),
    ""
  )
)</f>
        <v/>
      </c>
      <c r="D51" s="502"/>
      <c r="E51" s="502"/>
      <c r="F51" s="466"/>
      <c r="H51" s="423"/>
      <c r="I51" s="423"/>
      <c r="J51" s="423"/>
      <c r="K51" s="423"/>
      <c r="L51" s="423"/>
      <c r="M51" s="423"/>
      <c r="N51" s="423"/>
      <c r="O51" s="423"/>
      <c r="P51" s="423"/>
    </row>
    <row r="52" spans="1:16" ht="51.95" customHeight="1">
      <c r="A52" s="329"/>
      <c r="C52" s="500" t="str">
        <f>'Calculation Sheet'!B47</f>
        <v/>
      </c>
      <c r="D52" s="500"/>
      <c r="E52" s="500"/>
      <c r="F52" s="467"/>
      <c r="H52" s="423"/>
      <c r="I52" s="423"/>
      <c r="J52" s="423"/>
      <c r="K52" s="423"/>
      <c r="L52" s="423"/>
      <c r="M52" s="423"/>
      <c r="N52" s="423"/>
      <c r="O52" s="423"/>
      <c r="P52" s="423"/>
    </row>
    <row r="53" spans="1:16" ht="51.95" customHeight="1">
      <c r="A53" s="329"/>
      <c r="C53" s="344" t="str">
        <f>'Calculation Sheet'!B48</f>
        <v/>
      </c>
      <c r="D53" s="344" t="str">
        <f>'Calculation Sheet'!C48</f>
        <v/>
      </c>
      <c r="E53" s="345" t="str">
        <f>'Calculation Sheet'!D48</f>
        <v/>
      </c>
      <c r="F53" s="327"/>
      <c r="H53" s="434"/>
      <c r="I53" s="423"/>
      <c r="J53" s="423"/>
      <c r="K53" s="423"/>
      <c r="L53" s="423"/>
      <c r="M53" s="423"/>
      <c r="N53" s="423"/>
      <c r="O53" s="423"/>
      <c r="P53" s="423"/>
    </row>
    <row r="54" spans="1:16" ht="39.6" customHeight="1">
      <c r="A54" s="329"/>
      <c r="C54" s="346" t="str">
        <f>'Calculation Sheet'!B49</f>
        <v/>
      </c>
      <c r="D54" s="347" t="str">
        <f>'Calculation Sheet'!C49</f>
        <v/>
      </c>
      <c r="E54" s="347" t="str">
        <f>'Calculation Sheet'!D49</f>
        <v/>
      </c>
      <c r="F54" s="347"/>
      <c r="H54" s="435"/>
      <c r="I54" s="423"/>
      <c r="J54" s="423"/>
      <c r="K54" s="423"/>
      <c r="L54" s="423"/>
      <c r="M54" s="423"/>
      <c r="N54" s="423"/>
      <c r="O54" s="423"/>
      <c r="P54" s="423"/>
    </row>
    <row r="55" spans="1:16" ht="27">
      <c r="A55" s="329"/>
      <c r="C55" s="348"/>
      <c r="D55" s="347"/>
      <c r="E55" s="267"/>
      <c r="F55" s="267"/>
      <c r="G55" s="267"/>
      <c r="H55" s="423"/>
      <c r="I55" s="423"/>
      <c r="J55" s="423"/>
      <c r="K55" s="423"/>
      <c r="L55" s="423"/>
      <c r="M55" s="423"/>
      <c r="N55" s="423"/>
      <c r="O55" s="423"/>
      <c r="P55" s="423"/>
    </row>
    <row r="56" spans="1:16" ht="24">
      <c r="A56" s="329"/>
      <c r="C56" s="349"/>
      <c r="D56" s="349"/>
      <c r="E56" s="268"/>
      <c r="F56" s="268"/>
      <c r="G56" s="268"/>
      <c r="H56" s="423"/>
      <c r="I56" s="423"/>
      <c r="J56" s="423"/>
      <c r="K56" s="423"/>
      <c r="L56" s="423"/>
      <c r="M56" s="423"/>
      <c r="N56" s="423"/>
      <c r="O56" s="423"/>
      <c r="P56" s="423"/>
    </row>
    <row r="57" spans="1:16">
      <c r="A57" s="329"/>
      <c r="H57" s="423"/>
      <c r="I57" s="423"/>
      <c r="J57" s="423"/>
      <c r="K57" s="423"/>
      <c r="L57" s="423"/>
      <c r="M57" s="423"/>
      <c r="N57" s="423"/>
      <c r="O57" s="423"/>
      <c r="P57" s="423"/>
    </row>
    <row r="58" spans="1:16">
      <c r="A58" s="329"/>
      <c r="H58" s="423"/>
      <c r="I58" s="423"/>
      <c r="J58" s="423"/>
      <c r="K58" s="423"/>
      <c r="L58" s="423"/>
      <c r="M58" s="423"/>
      <c r="N58" s="423"/>
      <c r="O58" s="423"/>
      <c r="P58" s="423"/>
    </row>
    <row r="59" spans="1:16" ht="24" hidden="1" customHeight="1">
      <c r="H59" s="423"/>
      <c r="I59" s="423"/>
      <c r="J59" s="423"/>
      <c r="K59" s="423"/>
      <c r="L59" s="423"/>
      <c r="M59" s="423"/>
      <c r="N59" s="423"/>
      <c r="O59" s="423"/>
      <c r="P59" s="423"/>
    </row>
    <row r="60" spans="1:16" hidden="1">
      <c r="A60" s="46"/>
      <c r="H60" s="423"/>
      <c r="I60" s="423"/>
      <c r="J60" s="423"/>
      <c r="K60" s="423"/>
      <c r="L60" s="423"/>
      <c r="M60" s="423"/>
      <c r="N60" s="423"/>
      <c r="O60" s="423"/>
      <c r="P60" s="423"/>
    </row>
    <row r="61" spans="1:16" ht="90.6" hidden="1" customHeight="1">
      <c r="A61" s="46"/>
      <c r="C61" s="228"/>
      <c r="H61" s="436"/>
      <c r="I61" s="423"/>
      <c r="J61" s="423"/>
      <c r="K61" s="423"/>
      <c r="L61" s="423"/>
      <c r="M61" s="423"/>
      <c r="N61" s="423"/>
      <c r="O61" s="423"/>
      <c r="P61" s="423"/>
    </row>
    <row r="62" spans="1:16" ht="44.1" customHeight="1">
      <c r="A62" s="661"/>
      <c r="B62" s="661"/>
      <c r="C62" s="512" t="s">
        <v>135</v>
      </c>
      <c r="D62" s="513"/>
      <c r="E62" s="662"/>
      <c r="F62" s="662"/>
      <c r="G62" s="661"/>
      <c r="H62" s="423"/>
      <c r="I62" s="423"/>
      <c r="J62" s="423"/>
      <c r="K62" s="423"/>
      <c r="L62" s="423"/>
      <c r="M62" s="423"/>
      <c r="N62" s="423"/>
      <c r="O62" s="423"/>
      <c r="P62" s="423"/>
    </row>
    <row r="63" spans="1:16" ht="21">
      <c r="A63" s="46"/>
      <c r="C63" s="350"/>
      <c r="D63" s="351"/>
      <c r="E63" s="351"/>
      <c r="F63" s="351"/>
      <c r="H63" s="423"/>
      <c r="I63" s="423"/>
      <c r="J63" s="423"/>
      <c r="K63" s="423"/>
      <c r="L63" s="423"/>
      <c r="M63" s="423"/>
      <c r="N63" s="423"/>
      <c r="O63" s="423"/>
      <c r="P63" s="423"/>
    </row>
    <row r="64" spans="1:16" ht="51">
      <c r="A64" s="46"/>
      <c r="C64" s="331" t="s">
        <v>5</v>
      </c>
      <c r="D64" s="352" t="s">
        <v>136</v>
      </c>
      <c r="E64" s="353" t="s">
        <v>137</v>
      </c>
      <c r="F64" s="478"/>
      <c r="H64" s="423"/>
      <c r="I64" s="423"/>
      <c r="J64" s="423"/>
      <c r="K64" s="423"/>
      <c r="L64" s="423"/>
      <c r="M64" s="423"/>
      <c r="N64" s="423"/>
      <c r="O64" s="423"/>
      <c r="P64" s="423"/>
    </row>
    <row r="65" spans="1:16" ht="37.5" customHeight="1">
      <c r="A65" s="46"/>
      <c r="C65" s="354" t="s">
        <v>138</v>
      </c>
      <c r="D65" s="65"/>
      <c r="E65" s="65"/>
      <c r="F65" s="470"/>
      <c r="H65" s="423"/>
      <c r="I65" s="423"/>
      <c r="J65" s="423"/>
      <c r="K65" s="423"/>
      <c r="L65" s="423"/>
      <c r="M65" s="423"/>
      <c r="N65" s="423"/>
      <c r="O65" s="423"/>
      <c r="P65" s="423"/>
    </row>
    <row r="66" spans="1:16" ht="39.6" customHeight="1">
      <c r="A66" s="46"/>
      <c r="C66" s="354" t="s">
        <v>139</v>
      </c>
      <c r="D66" s="65"/>
      <c r="E66" s="65"/>
      <c r="F66" s="470"/>
      <c r="H66" s="423"/>
      <c r="I66" s="423"/>
      <c r="J66" s="423"/>
      <c r="K66" s="423"/>
      <c r="L66" s="423"/>
      <c r="M66" s="423"/>
      <c r="N66" s="423"/>
      <c r="O66" s="423"/>
      <c r="P66" s="423"/>
    </row>
    <row r="67" spans="1:16" ht="38.1" customHeight="1">
      <c r="A67" s="46"/>
      <c r="C67" s="355" t="s">
        <v>140</v>
      </c>
      <c r="D67" s="65"/>
      <c r="E67" s="65"/>
      <c r="F67" s="470"/>
      <c r="H67" s="423"/>
      <c r="I67" s="423"/>
      <c r="J67" s="423"/>
      <c r="K67" s="423"/>
      <c r="L67" s="423"/>
      <c r="M67" s="423"/>
      <c r="N67" s="423"/>
      <c r="O67" s="423"/>
      <c r="P67" s="423"/>
    </row>
    <row r="68" spans="1:16" ht="42.95" customHeight="1">
      <c r="A68" s="46"/>
      <c r="C68" s="354" t="s">
        <v>141</v>
      </c>
      <c r="D68" s="65"/>
      <c r="E68" s="65"/>
      <c r="F68" s="470"/>
      <c r="H68" s="423"/>
      <c r="I68" s="423"/>
      <c r="J68" s="423"/>
      <c r="K68" s="423"/>
      <c r="L68" s="423"/>
      <c r="M68" s="423"/>
      <c r="N68" s="423"/>
      <c r="O68" s="423"/>
      <c r="P68" s="423"/>
    </row>
    <row r="69" spans="1:16" ht="35.450000000000003" customHeight="1">
      <c r="A69" s="46"/>
      <c r="C69" s="356" t="s">
        <v>142</v>
      </c>
      <c r="D69" s="357" t="str">
        <f>D44</f>
        <v/>
      </c>
      <c r="E69" s="65"/>
      <c r="F69" s="470"/>
      <c r="H69" s="423"/>
      <c r="I69" s="423"/>
      <c r="J69" s="423"/>
      <c r="K69" s="423"/>
      <c r="L69" s="423"/>
      <c r="M69" s="423"/>
      <c r="N69" s="423"/>
      <c r="O69" s="423"/>
      <c r="P69" s="423"/>
    </row>
    <row r="70" spans="1:16" ht="38.450000000000003" customHeight="1">
      <c r="A70" s="46"/>
      <c r="C70" s="358" t="s">
        <v>28</v>
      </c>
      <c r="D70" s="663" t="str">
        <f>'Calculation Sheet'!C65</f>
        <v/>
      </c>
      <c r="E70" s="664"/>
      <c r="F70" s="100"/>
      <c r="H70" s="423"/>
      <c r="I70" s="423"/>
      <c r="J70" s="423"/>
      <c r="K70" s="423"/>
      <c r="L70" s="423"/>
      <c r="M70" s="423"/>
      <c r="N70" s="423"/>
      <c r="O70" s="423"/>
      <c r="P70" s="423"/>
    </row>
    <row r="71" spans="1:16" ht="29.1" customHeight="1">
      <c r="A71" s="46"/>
      <c r="H71" s="423"/>
      <c r="I71" s="423"/>
      <c r="J71" s="423"/>
      <c r="K71" s="423"/>
      <c r="L71" s="423"/>
      <c r="M71" s="423"/>
      <c r="N71" s="423"/>
      <c r="O71" s="423"/>
      <c r="P71" s="423"/>
    </row>
    <row r="72" spans="1:16" ht="41.1" customHeight="1">
      <c r="A72" s="46"/>
      <c r="C72" s="338" t="str">
        <f>IFERROR(
    IF(VALUE(TRIM('Calculation Sheet'!D65))&gt;9,
       "เสนอต่อคณะกรรมการความมั่นคงแห่งชาติฯ*",
       ""
    ),
    ""
)</f>
        <v/>
      </c>
      <c r="D72" s="339" t="str">
        <f>IF(
    ISNUMBER(SEARCH("มั่นคง", C72)),
    "จงเลือกคำตอบ ""ใช่"" หรือ ""ไม่"" โดยคลิกที่เซลล์ด้านล่าง" &amp; CHAR(10) &amp;
    "ถ้าต้องการทบทวนให้เลือกเซลล์ C65 แล้วกด Delete บนคีย์บอร์ด" &amp; CHAR(10) &amp;
    "(จะล้างเฉพาะข้อมูล ไม่ลบการตั้งค่า)",
    ""
)</f>
        <v/>
      </c>
      <c r="H72" s="423"/>
      <c r="I72" s="423"/>
      <c r="J72" s="423"/>
      <c r="K72" s="423"/>
      <c r="L72" s="423"/>
      <c r="M72" s="423"/>
      <c r="N72" s="423"/>
      <c r="O72" s="423"/>
      <c r="P72" s="423"/>
    </row>
    <row r="73" spans="1:16" ht="33.950000000000003" customHeight="1">
      <c r="A73" s="46"/>
      <c r="C73" s="342" t="str">
        <f>IFERROR(
    IF(_xlfn.NUMBERVALUE(TRIM('Calculation Sheet'!D65))&gt;9,
       "เสนอต่อคณะกรรมการความมั่นคงแห่งชาติฯ* และมีแนวโน้มจะได้รับอนุมัติหรือไม่ ?",
 ""
    ),
    ""
)</f>
        <v/>
      </c>
      <c r="D73" s="454"/>
      <c r="H73" s="423"/>
      <c r="I73" s="423"/>
      <c r="J73" s="423"/>
      <c r="K73" s="423"/>
      <c r="L73" s="423"/>
      <c r="M73" s="423"/>
      <c r="N73" s="423"/>
      <c r="O73" s="423"/>
      <c r="P73" s="423"/>
    </row>
    <row r="74" spans="1:16" ht="21">
      <c r="A74" s="46"/>
      <c r="H74" s="423"/>
      <c r="I74" s="437"/>
      <c r="J74" s="423"/>
      <c r="K74" s="423"/>
      <c r="L74" s="423"/>
      <c r="M74" s="423"/>
      <c r="N74" s="423"/>
      <c r="O74" s="423"/>
      <c r="P74" s="423"/>
    </row>
    <row r="75" spans="1:16" ht="42.6" customHeight="1">
      <c r="A75" s="46"/>
      <c r="H75" s="423"/>
      <c r="I75" s="438"/>
      <c r="J75" s="423"/>
      <c r="K75" s="423"/>
      <c r="L75" s="423"/>
      <c r="M75" s="423"/>
      <c r="N75" s="423"/>
      <c r="O75" s="423"/>
      <c r="P75" s="423"/>
    </row>
    <row r="76" spans="1:16" ht="34.5" customHeight="1">
      <c r="A76" s="46"/>
      <c r="C76" s="506" t="s">
        <v>143</v>
      </c>
      <c r="D76" s="506"/>
      <c r="E76" s="507"/>
      <c r="F76" s="480"/>
      <c r="H76" s="423"/>
      <c r="I76" s="423"/>
      <c r="J76" s="423"/>
      <c r="K76" s="423"/>
      <c r="L76" s="423"/>
      <c r="M76" s="423"/>
      <c r="N76" s="423"/>
      <c r="O76" s="423"/>
      <c r="P76" s="423"/>
    </row>
    <row r="77" spans="1:16" ht="48.6" customHeight="1">
      <c r="A77" s="46"/>
      <c r="C77" s="500" t="str">
        <f>'Calculation Sheet'!B74</f>
        <v/>
      </c>
      <c r="D77" s="500"/>
      <c r="E77" s="500"/>
      <c r="F77" s="481"/>
      <c r="H77" s="423"/>
      <c r="I77" s="423"/>
      <c r="J77" s="423"/>
      <c r="K77" s="423"/>
      <c r="L77" s="423"/>
      <c r="M77" s="423"/>
      <c r="N77" s="423"/>
      <c r="O77" s="423"/>
      <c r="P77" s="423"/>
    </row>
    <row r="78" spans="1:16" ht="42" customHeight="1">
      <c r="A78" s="46"/>
      <c r="B78" s="359" t="s">
        <v>117</v>
      </c>
      <c r="C78" s="359" t="s">
        <v>144</v>
      </c>
      <c r="D78" s="359" t="s">
        <v>30</v>
      </c>
      <c r="E78" s="359" t="str">
        <f>IF(ISNUMBER(SEARCH("ระดับชั้นข้อมูล",D78)),"การจำแนกประเภทข้อมูล","")</f>
        <v>การจำแนกประเภทข้อมูล</v>
      </c>
      <c r="F78" s="479"/>
      <c r="H78" s="423"/>
      <c r="I78" s="423"/>
      <c r="J78" s="423"/>
      <c r="K78" s="423"/>
      <c r="L78" s="423"/>
      <c r="M78" s="423"/>
      <c r="N78" s="423"/>
      <c r="O78" s="423"/>
      <c r="P78" s="423"/>
    </row>
    <row r="79" spans="1:16" ht="69.599999999999994" customHeight="1">
      <c r="A79" s="46"/>
      <c r="B79" s="360" t="str">
        <f>C12</f>
        <v>กรุณากรอกชื่อชุดข้อมูลหรือบริการของท่าน</v>
      </c>
      <c r="C79" s="360" t="str">
        <f>'Calculation Sheet'!B76</f>
        <v/>
      </c>
      <c r="D79" s="226" t="str">
        <f>'Calculation Sheet'!C76</f>
        <v/>
      </c>
      <c r="E79" s="361" t="str">
        <f>'Calculation Sheet'!D76</f>
        <v/>
      </c>
      <c r="F79" s="363"/>
      <c r="H79" s="423"/>
      <c r="I79" s="423"/>
      <c r="J79" s="423"/>
      <c r="K79" s="423"/>
      <c r="L79" s="423"/>
      <c r="M79" s="423"/>
      <c r="N79" s="423"/>
      <c r="O79" s="423"/>
      <c r="P79" s="423"/>
    </row>
    <row r="80" spans="1:16" ht="30">
      <c r="A80" s="46"/>
      <c r="C80" s="505" t="str">
        <f>'Calculation Sheet'!B77</f>
        <v/>
      </c>
      <c r="D80" s="505"/>
      <c r="E80" s="505"/>
      <c r="F80" s="464"/>
      <c r="H80" s="423"/>
      <c r="I80" s="423"/>
      <c r="J80" s="423"/>
      <c r="K80" s="423"/>
      <c r="L80" s="423"/>
      <c r="M80" s="423"/>
      <c r="N80" s="423"/>
      <c r="O80" s="423"/>
      <c r="P80" s="423"/>
    </row>
    <row r="81" spans="1:16" ht="24">
      <c r="A81" s="46"/>
      <c r="C81" s="362"/>
      <c r="D81" s="267"/>
      <c r="E81" s="363"/>
      <c r="F81" s="363"/>
      <c r="H81" s="423"/>
      <c r="I81" s="423"/>
      <c r="J81" s="423"/>
      <c r="K81" s="423"/>
      <c r="L81" s="423"/>
      <c r="M81" s="423"/>
      <c r="N81" s="423"/>
      <c r="O81" s="423"/>
      <c r="P81" s="423"/>
    </row>
    <row r="82" spans="1:16" ht="24">
      <c r="A82" s="46"/>
      <c r="C82" s="362"/>
      <c r="D82" s="267"/>
      <c r="E82" s="363"/>
      <c r="F82" s="363"/>
      <c r="H82" s="423"/>
      <c r="I82" s="423"/>
      <c r="J82" s="423"/>
      <c r="K82" s="423"/>
      <c r="L82" s="423"/>
      <c r="M82" s="423"/>
      <c r="N82" s="423"/>
      <c r="O82" s="423"/>
      <c r="P82" s="423"/>
    </row>
    <row r="83" spans="1:16" ht="27.95" customHeight="1">
      <c r="A83" s="46"/>
      <c r="H83" s="423"/>
      <c r="I83" s="423"/>
      <c r="J83" s="423"/>
      <c r="K83" s="423"/>
      <c r="L83" s="423"/>
      <c r="M83" s="423"/>
      <c r="N83" s="423"/>
      <c r="O83" s="423"/>
      <c r="P83" s="423"/>
    </row>
    <row r="84" spans="1:16" ht="27.95" customHeight="1">
      <c r="A84" s="423"/>
      <c r="B84" s="423"/>
      <c r="C84" s="423"/>
      <c r="D84" s="423"/>
      <c r="E84" s="423"/>
      <c r="F84" s="423"/>
      <c r="G84" s="423"/>
      <c r="H84" s="423"/>
      <c r="I84" s="423"/>
      <c r="J84" s="423"/>
      <c r="K84" s="423"/>
      <c r="L84" s="423"/>
      <c r="M84" s="423"/>
      <c r="N84" s="423"/>
      <c r="O84" s="423"/>
      <c r="P84" s="423"/>
    </row>
    <row r="85" spans="1:16">
      <c r="A85" s="423"/>
      <c r="B85" s="423"/>
      <c r="C85" s="423"/>
      <c r="D85" s="423"/>
      <c r="E85" s="423"/>
      <c r="F85" s="423"/>
      <c r="G85" s="423"/>
      <c r="H85" s="423"/>
      <c r="I85" s="423"/>
      <c r="J85" s="423"/>
      <c r="K85" s="423"/>
      <c r="L85" s="423"/>
      <c r="M85" s="423"/>
      <c r="N85" s="423"/>
      <c r="O85" s="423"/>
      <c r="P85" s="423"/>
    </row>
    <row r="86" spans="1:16">
      <c r="A86" s="423"/>
      <c r="B86" s="423"/>
      <c r="C86" s="423"/>
      <c r="D86" s="423"/>
      <c r="E86" s="423"/>
      <c r="F86" s="423"/>
      <c r="G86" s="423"/>
      <c r="H86" s="423"/>
      <c r="I86" s="423"/>
      <c r="J86" s="423"/>
      <c r="K86" s="423"/>
      <c r="L86" s="423"/>
      <c r="M86" s="423"/>
      <c r="N86" s="423"/>
      <c r="O86" s="423"/>
      <c r="P86" s="423"/>
    </row>
    <row r="87" spans="1:16">
      <c r="A87" s="423"/>
      <c r="B87" s="423"/>
      <c r="C87" s="423"/>
      <c r="D87" s="423"/>
      <c r="E87" s="423"/>
      <c r="F87" s="423"/>
      <c r="G87" s="423"/>
      <c r="H87" s="423"/>
      <c r="I87" s="423"/>
      <c r="J87" s="423"/>
      <c r="K87" s="423"/>
      <c r="L87" s="423"/>
      <c r="M87" s="423"/>
      <c r="N87" s="423"/>
      <c r="O87" s="423"/>
      <c r="P87" s="423"/>
    </row>
    <row r="88" spans="1:16">
      <c r="A88" s="423"/>
      <c r="B88" s="423"/>
      <c r="C88" s="423"/>
      <c r="D88" s="423"/>
      <c r="E88" s="423"/>
      <c r="F88" s="423"/>
      <c r="G88" s="423"/>
      <c r="H88" s="423"/>
      <c r="I88" s="423"/>
      <c r="J88" s="423"/>
      <c r="K88" s="423"/>
      <c r="L88" s="423"/>
      <c r="M88" s="423"/>
      <c r="N88" s="423"/>
      <c r="O88" s="423"/>
      <c r="P88" s="423"/>
    </row>
    <row r="89" spans="1:16">
      <c r="A89" s="423"/>
      <c r="B89" s="423"/>
      <c r="C89" s="423"/>
      <c r="D89" s="423"/>
      <c r="E89" s="423"/>
      <c r="F89" s="423"/>
      <c r="G89" s="423"/>
      <c r="H89" s="423"/>
      <c r="I89" s="423"/>
      <c r="J89" s="423"/>
      <c r="K89" s="423"/>
      <c r="L89" s="423"/>
      <c r="M89" s="423"/>
      <c r="N89" s="423"/>
      <c r="O89" s="423"/>
      <c r="P89" s="423"/>
    </row>
    <row r="90" spans="1:16">
      <c r="A90" s="423"/>
      <c r="B90" s="423"/>
      <c r="C90" s="423"/>
      <c r="D90" s="423"/>
      <c r="E90" s="423"/>
      <c r="F90" s="423"/>
      <c r="G90" s="423"/>
      <c r="H90" s="423"/>
      <c r="I90" s="423"/>
      <c r="J90" s="423"/>
      <c r="K90" s="423"/>
      <c r="L90" s="423"/>
      <c r="M90" s="423"/>
      <c r="N90" s="423"/>
      <c r="O90" s="423"/>
      <c r="P90" s="423"/>
    </row>
    <row r="91" spans="1:16">
      <c r="A91" s="423"/>
      <c r="B91" s="423"/>
      <c r="C91" s="423"/>
      <c r="D91" s="423"/>
      <c r="E91" s="423"/>
      <c r="F91" s="423"/>
      <c r="G91" s="423"/>
      <c r="H91" s="423"/>
      <c r="I91" s="423"/>
      <c r="J91" s="423"/>
      <c r="K91" s="423"/>
      <c r="L91" s="423"/>
      <c r="M91" s="423"/>
      <c r="N91" s="423"/>
      <c r="O91" s="423"/>
      <c r="P91" s="423"/>
    </row>
    <row r="92" spans="1:16">
      <c r="A92" s="423"/>
      <c r="B92" s="423"/>
      <c r="C92" s="423"/>
      <c r="D92" s="423"/>
      <c r="E92" s="423"/>
      <c r="F92" s="423"/>
      <c r="G92" s="423"/>
      <c r="H92" s="423"/>
      <c r="I92" s="423"/>
      <c r="J92" s="423"/>
      <c r="K92" s="423"/>
      <c r="L92" s="423"/>
      <c r="M92" s="423"/>
      <c r="N92" s="423"/>
      <c r="O92" s="423"/>
      <c r="P92" s="423"/>
    </row>
    <row r="93" spans="1:16">
      <c r="A93" s="423"/>
      <c r="B93" s="423"/>
      <c r="C93" s="423"/>
      <c r="D93" s="423"/>
      <c r="E93" s="423"/>
      <c r="F93" s="423"/>
      <c r="G93" s="423"/>
      <c r="H93" s="423"/>
      <c r="I93" s="423"/>
      <c r="J93" s="423"/>
      <c r="K93" s="423"/>
      <c r="L93" s="423"/>
      <c r="M93" s="423"/>
      <c r="N93" s="423"/>
      <c r="O93" s="423"/>
      <c r="P93" s="423"/>
    </row>
    <row r="94" spans="1:16">
      <c r="A94" s="423"/>
      <c r="B94" s="423"/>
      <c r="C94" s="423"/>
      <c r="D94" s="423"/>
      <c r="E94" s="423"/>
      <c r="F94" s="423"/>
      <c r="G94" s="423"/>
      <c r="H94" s="423"/>
      <c r="I94" s="423"/>
      <c r="J94" s="423"/>
      <c r="K94" s="423"/>
      <c r="L94" s="423"/>
      <c r="M94" s="423"/>
      <c r="N94" s="423"/>
      <c r="O94" s="423"/>
      <c r="P94" s="423"/>
    </row>
    <row r="95" spans="1:16">
      <c r="A95" s="423"/>
      <c r="B95" s="423"/>
      <c r="C95" s="423"/>
      <c r="D95" s="423"/>
      <c r="E95" s="423"/>
      <c r="F95" s="423"/>
      <c r="G95" s="423"/>
      <c r="H95" s="423"/>
      <c r="I95" s="423"/>
      <c r="J95" s="423"/>
      <c r="K95" s="423"/>
      <c r="L95" s="423"/>
      <c r="M95" s="423"/>
      <c r="N95" s="423"/>
      <c r="O95" s="423"/>
      <c r="P95" s="423"/>
    </row>
    <row r="96" spans="1:16">
      <c r="A96" s="423"/>
      <c r="B96" s="423"/>
      <c r="C96" s="423"/>
      <c r="D96" s="423"/>
      <c r="E96" s="423"/>
      <c r="F96" s="423"/>
      <c r="G96" s="423"/>
      <c r="H96" s="423"/>
      <c r="I96" s="423"/>
      <c r="J96" s="423"/>
      <c r="K96" s="423"/>
      <c r="L96" s="423"/>
      <c r="M96" s="423"/>
      <c r="N96" s="423"/>
      <c r="O96" s="423"/>
      <c r="P96" s="423"/>
    </row>
    <row r="97" spans="1:16">
      <c r="A97" s="423"/>
      <c r="B97" s="423"/>
      <c r="C97" s="423"/>
      <c r="D97" s="423"/>
      <c r="E97" s="423"/>
      <c r="F97" s="423"/>
      <c r="G97" s="423"/>
      <c r="H97" s="423"/>
      <c r="I97" s="423"/>
      <c r="J97" s="423"/>
      <c r="K97" s="423"/>
      <c r="L97" s="423"/>
      <c r="M97" s="423"/>
      <c r="N97" s="423"/>
      <c r="O97" s="423"/>
      <c r="P97" s="423"/>
    </row>
    <row r="98" spans="1:16">
      <c r="A98" s="423"/>
      <c r="B98" s="423"/>
      <c r="C98" s="423"/>
      <c r="D98" s="423"/>
      <c r="E98" s="423"/>
      <c r="F98" s="423"/>
      <c r="G98" s="423"/>
      <c r="H98" s="423"/>
      <c r="I98" s="423"/>
      <c r="J98" s="423"/>
      <c r="K98" s="423"/>
      <c r="L98" s="423"/>
      <c r="M98" s="423"/>
      <c r="N98" s="423"/>
      <c r="O98" s="423"/>
      <c r="P98" s="423"/>
    </row>
    <row r="99" spans="1:16">
      <c r="A99" s="423"/>
      <c r="B99" s="423"/>
      <c r="C99" s="423"/>
      <c r="D99" s="423"/>
      <c r="E99" s="423"/>
      <c r="F99" s="423"/>
      <c r="G99" s="423"/>
      <c r="H99" s="423"/>
      <c r="I99" s="423"/>
      <c r="J99" s="423"/>
      <c r="K99" s="423"/>
      <c r="L99" s="423"/>
      <c r="M99" s="423"/>
      <c r="N99" s="423"/>
      <c r="O99" s="423"/>
      <c r="P99" s="423"/>
    </row>
    <row r="100" spans="1:16">
      <c r="A100" s="423"/>
      <c r="B100" s="423"/>
      <c r="C100" s="423"/>
      <c r="D100" s="423"/>
      <c r="E100" s="423"/>
      <c r="F100" s="423"/>
      <c r="G100" s="423"/>
      <c r="H100" s="423"/>
      <c r="I100" s="423"/>
      <c r="J100" s="423"/>
      <c r="K100" s="423"/>
      <c r="L100" s="423"/>
      <c r="M100" s="423"/>
      <c r="N100" s="423"/>
      <c r="O100" s="423"/>
      <c r="P100" s="423"/>
    </row>
    <row r="101" spans="1:16">
      <c r="A101" s="423"/>
      <c r="B101" s="423"/>
      <c r="C101" s="423"/>
      <c r="D101" s="423"/>
      <c r="E101" s="423"/>
      <c r="F101" s="423"/>
      <c r="G101" s="423"/>
      <c r="H101" s="423"/>
      <c r="I101" s="423"/>
      <c r="J101" s="423"/>
      <c r="K101" s="423"/>
      <c r="L101" s="423"/>
      <c r="M101" s="423"/>
      <c r="N101" s="423"/>
      <c r="O101" s="423"/>
      <c r="P101" s="423"/>
    </row>
    <row r="102" spans="1:16">
      <c r="A102" s="423"/>
      <c r="B102" s="423"/>
      <c r="C102" s="423"/>
      <c r="D102" s="423"/>
      <c r="E102" s="423"/>
      <c r="F102" s="423"/>
      <c r="G102" s="423"/>
      <c r="H102" s="423"/>
      <c r="I102" s="423"/>
      <c r="J102" s="423"/>
      <c r="K102" s="423"/>
      <c r="L102" s="423"/>
      <c r="M102" s="423"/>
      <c r="N102" s="423"/>
      <c r="O102" s="423"/>
      <c r="P102" s="423"/>
    </row>
    <row r="103" spans="1:16">
      <c r="A103" s="423"/>
      <c r="B103" s="423"/>
      <c r="C103" s="423"/>
      <c r="D103" s="423"/>
      <c r="E103" s="423"/>
      <c r="F103" s="423"/>
      <c r="G103" s="423"/>
      <c r="H103" s="423"/>
      <c r="I103" s="423"/>
      <c r="J103" s="423"/>
      <c r="K103" s="423"/>
      <c r="L103" s="423"/>
      <c r="M103" s="423"/>
      <c r="N103" s="423"/>
      <c r="O103" s="423"/>
      <c r="P103" s="423"/>
    </row>
    <row r="104" spans="1:16">
      <c r="A104" s="423"/>
      <c r="B104" s="423"/>
      <c r="C104" s="423"/>
      <c r="D104" s="423"/>
      <c r="E104" s="423"/>
      <c r="F104" s="423"/>
      <c r="G104" s="423"/>
      <c r="H104" s="423"/>
      <c r="I104" s="423"/>
      <c r="J104" s="423"/>
      <c r="K104" s="423"/>
      <c r="L104" s="423"/>
      <c r="M104" s="423"/>
      <c r="N104" s="423"/>
      <c r="O104" s="423"/>
      <c r="P104" s="423"/>
    </row>
    <row r="105" spans="1:16">
      <c r="A105" s="423"/>
      <c r="B105" s="423"/>
      <c r="C105" s="423"/>
      <c r="D105" s="423"/>
      <c r="E105" s="423"/>
      <c r="F105" s="423"/>
      <c r="G105" s="423"/>
      <c r="H105" s="423"/>
      <c r="I105" s="423"/>
      <c r="J105" s="423"/>
      <c r="K105" s="423"/>
      <c r="L105" s="423"/>
      <c r="M105" s="423"/>
      <c r="N105" s="423"/>
      <c r="O105" s="423"/>
      <c r="P105" s="423"/>
    </row>
    <row r="106" spans="1:16">
      <c r="A106" s="423"/>
      <c r="B106" s="423"/>
      <c r="C106" s="423"/>
      <c r="D106" s="423"/>
      <c r="E106" s="423"/>
      <c r="F106" s="423"/>
      <c r="G106" s="423"/>
      <c r="H106" s="423"/>
      <c r="I106" s="423"/>
      <c r="J106" s="423"/>
      <c r="K106" s="423"/>
      <c r="L106" s="423"/>
      <c r="M106" s="423"/>
      <c r="N106" s="423"/>
      <c r="O106" s="423"/>
      <c r="P106" s="423"/>
    </row>
    <row r="107" spans="1:16">
      <c r="A107" s="423"/>
      <c r="B107" s="423"/>
      <c r="C107" s="423"/>
      <c r="D107" s="423"/>
      <c r="E107" s="423"/>
      <c r="F107" s="423"/>
      <c r="G107" s="423"/>
      <c r="H107" s="423"/>
      <c r="I107" s="423"/>
      <c r="J107" s="423"/>
      <c r="K107" s="423"/>
      <c r="L107" s="423"/>
      <c r="M107" s="423"/>
      <c r="N107" s="423"/>
      <c r="O107" s="423"/>
      <c r="P107" s="423"/>
    </row>
    <row r="108" spans="1:16">
      <c r="A108" s="423"/>
      <c r="B108" s="423"/>
      <c r="C108" s="423"/>
      <c r="D108" s="423"/>
      <c r="E108" s="423"/>
      <c r="F108" s="423"/>
      <c r="G108" s="423"/>
      <c r="H108" s="423"/>
      <c r="I108" s="423"/>
      <c r="J108" s="423"/>
      <c r="K108" s="423"/>
      <c r="L108" s="423"/>
      <c r="M108" s="423"/>
      <c r="N108" s="423"/>
      <c r="O108" s="423"/>
      <c r="P108" s="423"/>
    </row>
    <row r="109" spans="1:16">
      <c r="A109" s="423"/>
      <c r="B109" s="423"/>
      <c r="C109" s="423"/>
      <c r="D109" s="423"/>
      <c r="E109" s="423"/>
      <c r="F109" s="423"/>
      <c r="G109" s="423"/>
      <c r="H109" s="423"/>
      <c r="I109" s="423"/>
      <c r="J109" s="423"/>
      <c r="K109" s="423"/>
      <c r="L109" s="423"/>
      <c r="M109" s="423"/>
      <c r="N109" s="423"/>
      <c r="O109" s="423"/>
      <c r="P109" s="423"/>
    </row>
    <row r="110" spans="1:16">
      <c r="A110" s="423"/>
      <c r="B110" s="423"/>
      <c r="C110" s="423"/>
      <c r="D110" s="423"/>
      <c r="E110" s="423"/>
      <c r="F110" s="423"/>
      <c r="G110" s="423"/>
      <c r="H110" s="423"/>
      <c r="I110" s="423"/>
      <c r="J110" s="423"/>
      <c r="K110" s="423"/>
      <c r="L110" s="423"/>
      <c r="M110" s="423"/>
      <c r="N110" s="423"/>
      <c r="O110" s="423"/>
      <c r="P110" s="423"/>
    </row>
    <row r="111" spans="1:16">
      <c r="A111" s="423"/>
      <c r="B111" s="423"/>
      <c r="C111" s="423"/>
      <c r="D111" s="423"/>
      <c r="E111" s="423"/>
      <c r="F111" s="423"/>
      <c r="G111" s="423"/>
      <c r="H111" s="423"/>
      <c r="I111" s="423"/>
      <c r="J111" s="423"/>
      <c r="K111" s="423"/>
      <c r="L111" s="423"/>
      <c r="M111" s="423"/>
      <c r="N111" s="423"/>
      <c r="O111" s="423"/>
      <c r="P111" s="423"/>
    </row>
    <row r="112" spans="1:16">
      <c r="A112" s="423"/>
      <c r="B112" s="423"/>
      <c r="C112" s="423"/>
      <c r="D112" s="423"/>
      <c r="E112" s="423"/>
      <c r="F112" s="423"/>
      <c r="G112" s="423"/>
      <c r="H112" s="423"/>
      <c r="I112" s="423"/>
      <c r="J112" s="423"/>
      <c r="K112" s="423"/>
      <c r="L112" s="423"/>
      <c r="M112" s="423"/>
      <c r="N112" s="423"/>
      <c r="O112" s="423"/>
      <c r="P112" s="423"/>
    </row>
    <row r="113" spans="1:16">
      <c r="A113" s="423"/>
      <c r="B113" s="423"/>
      <c r="C113" s="423"/>
      <c r="D113" s="423"/>
      <c r="E113" s="423"/>
      <c r="F113" s="423"/>
      <c r="G113" s="423"/>
      <c r="H113" s="423"/>
      <c r="I113" s="423"/>
      <c r="J113" s="423"/>
      <c r="K113" s="423"/>
      <c r="L113" s="423"/>
      <c r="M113" s="423"/>
      <c r="N113" s="423"/>
      <c r="O113" s="423"/>
      <c r="P113" s="423"/>
    </row>
    <row r="114" spans="1:16">
      <c r="A114" s="423"/>
      <c r="B114" s="423"/>
      <c r="C114" s="423"/>
      <c r="D114" s="423"/>
      <c r="E114" s="423"/>
      <c r="F114" s="423"/>
      <c r="G114" s="423"/>
      <c r="H114" s="423"/>
      <c r="I114" s="423"/>
      <c r="J114" s="423"/>
      <c r="K114" s="423"/>
      <c r="L114" s="423"/>
      <c r="M114" s="423"/>
      <c r="N114" s="423"/>
      <c r="O114" s="423"/>
      <c r="P114" s="423"/>
    </row>
    <row r="115" spans="1:16">
      <c r="A115" s="423"/>
      <c r="B115" s="423"/>
      <c r="C115" s="423"/>
      <c r="D115" s="423"/>
      <c r="E115" s="423"/>
      <c r="F115" s="423"/>
      <c r="G115" s="423"/>
      <c r="H115" s="423"/>
      <c r="I115" s="423"/>
      <c r="J115" s="423"/>
      <c r="K115" s="423"/>
      <c r="L115" s="423"/>
      <c r="M115" s="423"/>
      <c r="N115" s="423"/>
      <c r="O115" s="423"/>
      <c r="P115" s="423"/>
    </row>
    <row r="116" spans="1:16">
      <c r="A116" s="423"/>
      <c r="B116" s="423"/>
      <c r="C116" s="423"/>
      <c r="D116" s="423"/>
      <c r="E116" s="423"/>
      <c r="F116" s="423"/>
      <c r="G116" s="423"/>
      <c r="H116" s="423"/>
      <c r="I116" s="423"/>
      <c r="J116" s="423"/>
      <c r="K116" s="423"/>
      <c r="L116" s="423"/>
      <c r="M116" s="423"/>
      <c r="N116" s="423"/>
      <c r="O116" s="423"/>
      <c r="P116" s="423"/>
    </row>
    <row r="117" spans="1:16">
      <c r="A117" s="423"/>
      <c r="B117" s="423"/>
      <c r="C117" s="423"/>
      <c r="D117" s="423"/>
      <c r="E117" s="423"/>
      <c r="F117" s="423"/>
      <c r="G117" s="423"/>
      <c r="H117" s="423"/>
      <c r="I117" s="423"/>
      <c r="J117" s="423"/>
      <c r="K117" s="423"/>
      <c r="L117" s="423"/>
      <c r="M117" s="423"/>
      <c r="N117" s="423"/>
      <c r="O117" s="423"/>
      <c r="P117" s="423"/>
    </row>
    <row r="118" spans="1:16">
      <c r="A118" s="423"/>
      <c r="B118" s="423"/>
      <c r="C118" s="423"/>
      <c r="D118" s="423"/>
      <c r="E118" s="423"/>
      <c r="F118" s="423"/>
      <c r="G118" s="423"/>
      <c r="H118" s="423"/>
      <c r="I118" s="423"/>
      <c r="J118" s="423"/>
      <c r="K118" s="423"/>
      <c r="L118" s="423"/>
      <c r="M118" s="423"/>
      <c r="N118" s="423"/>
      <c r="O118" s="423"/>
      <c r="P118" s="423"/>
    </row>
    <row r="119" spans="1:16">
      <c r="A119" s="423"/>
      <c r="B119" s="423"/>
      <c r="C119" s="423"/>
      <c r="D119" s="423"/>
      <c r="E119" s="423"/>
      <c r="F119" s="423"/>
      <c r="G119" s="423"/>
      <c r="H119" s="423"/>
      <c r="I119" s="423"/>
      <c r="J119" s="423"/>
      <c r="K119" s="423"/>
      <c r="L119" s="423"/>
      <c r="M119" s="423"/>
      <c r="N119" s="423"/>
      <c r="O119" s="423"/>
      <c r="P119" s="423"/>
    </row>
    <row r="120" spans="1:16">
      <c r="A120" s="423"/>
      <c r="B120" s="423"/>
      <c r="C120" s="423"/>
      <c r="D120" s="423"/>
      <c r="E120" s="423"/>
      <c r="F120" s="423"/>
      <c r="G120" s="423"/>
      <c r="H120" s="423"/>
      <c r="I120" s="423"/>
      <c r="J120" s="423"/>
      <c r="K120" s="423"/>
      <c r="L120" s="423"/>
      <c r="M120" s="423"/>
      <c r="N120" s="423"/>
      <c r="O120" s="423"/>
      <c r="P120" s="423"/>
    </row>
    <row r="121" spans="1:16">
      <c r="H121"/>
    </row>
    <row r="122" spans="1:16">
      <c r="H122"/>
    </row>
    <row r="123" spans="1:16">
      <c r="H123"/>
    </row>
  </sheetData>
  <sheetProtection sheet="1" objects="1" scenarios="1"/>
  <mergeCells count="24">
    <mergeCell ref="C13:E13"/>
    <mergeCell ref="A15:B15"/>
    <mergeCell ref="B2:E2"/>
    <mergeCell ref="B3:E3"/>
    <mergeCell ref="B5:C5"/>
    <mergeCell ref="B9:E9"/>
    <mergeCell ref="C12:E12"/>
    <mergeCell ref="B4:C4"/>
    <mergeCell ref="D4:E4"/>
    <mergeCell ref="B7:D7"/>
    <mergeCell ref="B8:D8"/>
    <mergeCell ref="B6:E6"/>
    <mergeCell ref="D70:E70"/>
    <mergeCell ref="C80:E80"/>
    <mergeCell ref="C77:E77"/>
    <mergeCell ref="C76:E76"/>
    <mergeCell ref="C27:E27"/>
    <mergeCell ref="C39:D39"/>
    <mergeCell ref="C62:D62"/>
    <mergeCell ref="C26:E26"/>
    <mergeCell ref="C28:E28"/>
    <mergeCell ref="C52:E52"/>
    <mergeCell ref="C51:E51"/>
    <mergeCell ref="C50:E50"/>
  </mergeCells>
  <conditionalFormatting sqref="B17:B22">
    <cfRule type="cellIs" dxfId="463" priority="81" operator="equal">
      <formula>"คลิกที่นี่ เพื่อประเมินระดับชั้นข้อมูล/ประเภทข้อมูล ต่อไป"</formula>
    </cfRule>
    <cfRule type="containsText" dxfId="462" priority="83" operator="containsText" text="ลับ ">
      <formula>NOT(ISERROR(SEARCH("ลับ ",B17)))</formula>
    </cfRule>
    <cfRule type="cellIs" dxfId="461" priority="79" operator="equal">
      <formula>"จบคำถามในส่วนที่ 1"</formula>
    </cfRule>
    <cfRule type="cellIs" dxfId="460" priority="80" stopIfTrue="1" operator="equal">
      <formula>"สอดคล้องตามนโยบาย และแผนความมั่นคงแห่งชาติฯ* หรือไม่ ?"</formula>
    </cfRule>
    <cfRule type="containsText" dxfId="459" priority="82" operator="containsText" text="เผยแพร่ภายในองค์กร">
      <formula>NOT(ISERROR(SEARCH("เผยแพร่ภายในองค์กร",B17)))</formula>
    </cfRule>
    <cfRule type="containsText" dxfId="458" priority="84" operator="containsText" text="ลับมาก">
      <formula>NOT(ISERROR(SEARCH("ลับมาก",B17)))</formula>
    </cfRule>
  </conditionalFormatting>
  <conditionalFormatting sqref="C17:C23">
    <cfRule type="cellIs" dxfId="457" priority="54" operator="equal">
      <formula>"คลิกที่นี่ เพื่อประเมินระดับชั้นข้อมูล/ประเภทข้อมูล ต่อไป"</formula>
    </cfRule>
    <cfRule type="cellIs" dxfId="456" priority="53" stopIfTrue="1" operator="equal">
      <formula>"สอดคล้องตามนโยบาย และแผนความมั่นคงแห่งชาติฯ* หรือไม่ ?"</formula>
    </cfRule>
    <cfRule type="cellIs" dxfId="455" priority="52" operator="equal">
      <formula>"จบคำถามในส่วนที่ 1"</formula>
    </cfRule>
    <cfRule type="containsText" dxfId="454" priority="55" operator="containsText" text="เผยแพร่ภายในองค์กร">
      <formula>NOT(ISERROR(SEARCH("เผยแพร่ภายในองค์กร",C17)))</formula>
    </cfRule>
    <cfRule type="containsText" dxfId="453" priority="56" operator="containsText" text="ลับ ">
      <formula>NOT(ISERROR(SEARCH("ลับ ",C17)))</formula>
    </cfRule>
    <cfRule type="containsText" dxfId="452" priority="57" operator="containsText" text="ลับมาก">
      <formula>NOT(ISERROR(SEARCH("ลับมาก",C17)))</formula>
    </cfRule>
  </conditionalFormatting>
  <conditionalFormatting sqref="C21:C23">
    <cfRule type="containsText" dxfId="451" priority="62" operator="containsText" text="ลับ ">
      <formula>NOT(ISERROR(SEARCH("ลับ ",C21)))</formula>
    </cfRule>
    <cfRule type="cellIs" dxfId="450" priority="59" stopIfTrue="1" operator="equal">
      <formula>"สอดคล้องตามนโยบาย และแผนความมั่นคงแห่งชาติฯ* หรือไม่ ?"</formula>
    </cfRule>
    <cfRule type="containsText" dxfId="449" priority="63" operator="containsText" text="ลับมาก">
      <formula>NOT(ISERROR(SEARCH("ลับมาก",C21)))</formula>
    </cfRule>
    <cfRule type="cellIs" dxfId="448" priority="60" operator="equal">
      <formula>"คลิกที่นี่ เพื่อประเมินระดับชั้นข้อมูล/ประเภทข้อมูล ต่อไป"</formula>
    </cfRule>
    <cfRule type="containsText" dxfId="447" priority="61" operator="containsText" text="เผยแพร่ภายในองค์กร">
      <formula>NOT(ISERROR(SEARCH("เผยแพร่ภายในองค์กร",C21)))</formula>
    </cfRule>
    <cfRule type="cellIs" dxfId="446" priority="58" operator="equal">
      <formula>"จบคำถามในส่วนที่ 1"</formula>
    </cfRule>
  </conditionalFormatting>
  <conditionalFormatting sqref="C26:C27">
    <cfRule type="cellIs" dxfId="445" priority="341" operator="equal">
      <formula>" "</formula>
    </cfRule>
    <cfRule type="expression" dxfId="444" priority="340">
      <formula>ISNUMBER(SEARCH("ข้อมูล",C26))</formula>
    </cfRule>
    <cfRule type="containsText" dxfId="443" priority="370" operator="containsText" text="ลับที่สุด">
      <formula>NOT(ISERROR(SEARCH("ลับที่สุด",C26)))</formula>
    </cfRule>
    <cfRule type="containsText" dxfId="442" priority="369" operator="containsText" text="ลับมาก">
      <formula>NOT(ISERROR(SEARCH("ลับมาก",C26)))</formula>
    </cfRule>
    <cfRule type="containsText" dxfId="441" priority="368" stopIfTrue="1" operator="containsText" text="ลับ ">
      <formula>NOT(ISERROR(SEARCH("ลับ ",C26)))</formula>
    </cfRule>
    <cfRule type="containsText" dxfId="440" priority="367" operator="containsText" text="ลับที่สุด">
      <formula>NOT(ISERROR(SEARCH("ลับที่สุด",C26)))</formula>
    </cfRule>
    <cfRule type="expression" dxfId="439" priority="607">
      <formula>C26=""</formula>
    </cfRule>
    <cfRule type="containsText" dxfId="438" priority="366" operator="containsText" text="ลับมาก">
      <formula>NOT(ISERROR(SEARCH("ลับมาก",C26)))</formula>
    </cfRule>
    <cfRule type="containsText" dxfId="437" priority="365" operator="containsText" text="ลับ ">
      <formula>NOT(ISERROR(SEARCH("ลับ ",C26)))</formula>
    </cfRule>
    <cfRule type="containsText" dxfId="436" priority="363" operator="containsText" text="เผยแพร่ภายในองค์กร">
      <formula>NOT(ISERROR(SEARCH("เผยแพร่ภายในองค์กร",C26)))</formula>
    </cfRule>
    <cfRule type="expression" dxfId="435" priority="342">
      <formula>ISNUMBER(SEARCH("สรุป",TRIM($C$26)))</formula>
    </cfRule>
  </conditionalFormatting>
  <conditionalFormatting sqref="C27">
    <cfRule type="containsText" dxfId="434" priority="253" stopIfTrue="1" operator="containsText" text="ลับ ">
      <formula>NOT(ISERROR(SEARCH("ลับ ",C27)))</formula>
    </cfRule>
    <cfRule type="containsText" dxfId="433" priority="252" operator="containsText" text="เปิดเผย">
      <formula>NOT(ISERROR(SEARCH("เปิดเผย",C27)))</formula>
    </cfRule>
    <cfRule type="containsText" dxfId="432" priority="251" operator="containsText" text="เผยแพร่ภายในองค์กร">
      <formula>NOT(ISERROR(SEARCH("เผยแพร่ภายในองค์กร",C27)))</formula>
    </cfRule>
    <cfRule type="containsText" dxfId="431" priority="248" operator="containsText" text="ลับมาก">
      <formula>NOT(ISERROR(SEARCH("ลับมาก",C27)))</formula>
    </cfRule>
    <cfRule type="containsText" dxfId="430" priority="249" operator="containsText" text="ลับที่สุด">
      <formula>NOT(ISERROR(SEARCH("ลับที่สุด",C27)))</formula>
    </cfRule>
    <cfRule type="cellIs" dxfId="429" priority="250" operator="equal">
      <formula>"จบการทำแบบประเมิน"</formula>
    </cfRule>
    <cfRule type="containsText" dxfId="428" priority="247" operator="containsText" text="ลับ ">
      <formula>NOT(ISERROR(SEARCH("ลับ ",C27)))</formula>
    </cfRule>
    <cfRule type="expression" dxfId="427" priority="246">
      <formula>ISNUMBER(SEARCH("ส่วนที่",TRIM($C$26)))</formula>
    </cfRule>
    <cfRule type="containsText" dxfId="426" priority="255" operator="containsText" text="ลับที่สุด">
      <formula>NOT(ISERROR(SEARCH("ลับที่สุด",C27)))</formula>
    </cfRule>
    <cfRule type="containsText" dxfId="425" priority="254" operator="containsText" text="ลับมาก">
      <formula>NOT(ISERROR(SEARCH("ลับมาก",C27)))</formula>
    </cfRule>
    <cfRule type="expression" dxfId="424" priority="245">
      <formula>ISNUMBER(SEARCH("คลิก",TRIM($C$26)))</formula>
    </cfRule>
  </conditionalFormatting>
  <conditionalFormatting sqref="C28">
    <cfRule type="expression" dxfId="423" priority="35">
      <formula>C28=""</formula>
    </cfRule>
    <cfRule type="expression" dxfId="422" priority="36">
      <formula>ISNUMBER(SEARCH("ส่วนที่ 1",TRIM($C$29)))</formula>
    </cfRule>
    <cfRule type="cellIs" dxfId="421" priority="27" operator="equal">
      <formula>" "</formula>
    </cfRule>
    <cfRule type="containsText" dxfId="420" priority="28" operator="containsText" text="เผยแพร่ภายในองค์กร">
      <formula>NOT(ISERROR(SEARCH("เผยแพร่ภายในองค์กร",C28)))</formula>
    </cfRule>
    <cfRule type="containsText" dxfId="419" priority="29" operator="containsText" text="ลับ ">
      <formula>NOT(ISERROR(SEARCH("ลับ ",C28)))</formula>
    </cfRule>
    <cfRule type="containsText" dxfId="418" priority="30" operator="containsText" text="ลับมาก">
      <formula>NOT(ISERROR(SEARCH("ลับมาก",C28)))</formula>
    </cfRule>
    <cfRule type="containsText" dxfId="417" priority="31" operator="containsText" text="ลับที่สุด">
      <formula>NOT(ISERROR(SEARCH("ลับที่สุด",C28)))</formula>
    </cfRule>
    <cfRule type="containsText" dxfId="416" priority="32" stopIfTrue="1" operator="containsText" text="ลับ ">
      <formula>NOT(ISERROR(SEARCH("ลับ ",C28)))</formula>
    </cfRule>
    <cfRule type="containsText" dxfId="415" priority="33" operator="containsText" text="ลับมาก">
      <formula>NOT(ISERROR(SEARCH("ลับมาก",C28)))</formula>
    </cfRule>
    <cfRule type="containsText" dxfId="414" priority="34" operator="containsText" text="ลับที่สุด">
      <formula>NOT(ISERROR(SEARCH("ลับที่สุด",C28)))</formula>
    </cfRule>
  </conditionalFormatting>
  <conditionalFormatting sqref="C29">
    <cfRule type="cellIs" dxfId="413" priority="307" operator="equal">
      <formula>"  "</formula>
    </cfRule>
    <cfRule type="cellIs" dxfId="412" priority="308" operator="equal">
      <formula>"หมวดหมู่ข้อมูล"</formula>
    </cfRule>
  </conditionalFormatting>
  <conditionalFormatting sqref="C30">
    <cfRule type="expression" dxfId="411" priority="23">
      <formula>ISNUMBER(SEARCH("ข้อมูล",TRIM($C30)))</formula>
    </cfRule>
  </conditionalFormatting>
  <conditionalFormatting sqref="C46">
    <cfRule type="expression" dxfId="410" priority="274">
      <formula>ISNUMBER(SEARCH("ข้อมูล",TRIM($C$46)))</formula>
    </cfRule>
  </conditionalFormatting>
  <conditionalFormatting sqref="C47">
    <cfRule type="expression" dxfId="409" priority="138">
      <formula>ISNUMBER(SEARCH("ข้อมูล", TRIM(C47)))</formula>
    </cfRule>
  </conditionalFormatting>
  <conditionalFormatting sqref="C47:C49">
    <cfRule type="expression" dxfId="408" priority="270">
      <formula>C47=""</formula>
    </cfRule>
  </conditionalFormatting>
  <conditionalFormatting sqref="C50">
    <cfRule type="expression" dxfId="407" priority="338">
      <formula>ISNUMBER(SEARCH("ข้อมูล",C50))</formula>
    </cfRule>
    <cfRule type="expression" dxfId="406" priority="337">
      <formula>ISNUMBER(SEARCH("สรุป",TRIM($C$50)))</formula>
    </cfRule>
  </conditionalFormatting>
  <conditionalFormatting sqref="C51">
    <cfRule type="expression" dxfId="405" priority="98">
      <formula>ISNUMBER(SEARCH("ข้อมูล",C51))</formula>
    </cfRule>
    <cfRule type="containsText" dxfId="404" priority="91" operator="containsText" text="ลับที่สุด">
      <formula>NOT(ISERROR(SEARCH("ลับที่สุด",C51)))</formula>
    </cfRule>
    <cfRule type="expression" dxfId="403" priority="85">
      <formula>ISNUMBER(SEARCH("คลิก",TRIM($C$51)))</formula>
    </cfRule>
    <cfRule type="expression" dxfId="402" priority="88">
      <formula>ISNUMBER(SEARCH("จบ",TRIM($C$51)))</formula>
    </cfRule>
    <cfRule type="containsText" dxfId="401" priority="89" operator="containsText" text="ลับ ">
      <formula>NOT(ISERROR(SEARCH("ลับ ",C51)))</formula>
    </cfRule>
    <cfRule type="containsText" dxfId="400" priority="90" operator="containsText" text="ลับมาก">
      <formula>NOT(ISERROR(SEARCH("ลับมาก",C51)))</formula>
    </cfRule>
    <cfRule type="cellIs" dxfId="399" priority="92" operator="equal">
      <formula>"จบการทำแบบประเมิน"</formula>
    </cfRule>
    <cfRule type="containsText" dxfId="398" priority="93" operator="containsText" text="เผยแพร่ภายในองค์กร">
      <formula>NOT(ISERROR(SEARCH("เผยแพร่ภายในองค์กร",C51)))</formula>
    </cfRule>
    <cfRule type="containsText" dxfId="397" priority="94" operator="containsText" text="เปิดเผย">
      <formula>NOT(ISERROR(SEARCH("เปิดเผย",C51)))</formula>
    </cfRule>
    <cfRule type="containsText" dxfId="396" priority="95" operator="containsText" text="ลับ ">
      <formula>NOT(ISERROR(SEARCH("ลับ ",C51)))</formula>
    </cfRule>
    <cfRule type="containsText" dxfId="395" priority="96" operator="containsText" text="ลับมาก">
      <formula>NOT(ISERROR(SEARCH("ลับมาก",C51)))</formula>
    </cfRule>
    <cfRule type="containsText" dxfId="394" priority="97" operator="containsText" text="ลับที่สุด">
      <formula>NOT(ISERROR(SEARCH("ลับที่สุด",C51)))</formula>
    </cfRule>
    <cfRule type="expression" dxfId="393" priority="108">
      <formula>C51=""</formula>
    </cfRule>
    <cfRule type="cellIs" dxfId="392" priority="99" operator="equal">
      <formula>" "</formula>
    </cfRule>
    <cfRule type="containsText" dxfId="391" priority="101" operator="containsText" text="เผยแพร่ภายในองค์กร">
      <formula>NOT(ISERROR(SEARCH("เผยแพร่ภายในองค์กร",C51)))</formula>
    </cfRule>
    <cfRule type="containsText" dxfId="390" priority="102" operator="containsText" text="ลับ ">
      <formula>NOT(ISERROR(SEARCH("ลับ ",C51)))</formula>
    </cfRule>
    <cfRule type="containsText" dxfId="389" priority="103" operator="containsText" text="ลับมาก">
      <formula>NOT(ISERROR(SEARCH("ลับมาก",C51)))</formula>
    </cfRule>
    <cfRule type="containsText" dxfId="388" priority="104" operator="containsText" text="ลับที่สุด">
      <formula>NOT(ISERROR(SEARCH("ลับที่สุด",C51)))</formula>
    </cfRule>
    <cfRule type="containsText" dxfId="387" priority="105" stopIfTrue="1" operator="containsText" text="ลับ ">
      <formula>NOT(ISERROR(SEARCH("ลับ ",C51)))</formula>
    </cfRule>
    <cfRule type="containsText" dxfId="386" priority="106" operator="containsText" text="ลับมาก">
      <formula>NOT(ISERROR(SEARCH("ลับมาก",C51)))</formula>
    </cfRule>
    <cfRule type="containsText" dxfId="385" priority="107" operator="containsText" text="ลับที่สุด">
      <formula>NOT(ISERROR(SEARCH("ลับที่สุด",C51)))</formula>
    </cfRule>
  </conditionalFormatting>
  <conditionalFormatting sqref="C52">
    <cfRule type="expression" dxfId="384" priority="217">
      <formula>ISNUMBER(SEARCH("ส่วนที่ 1",TRIM($C$29)))</formula>
    </cfRule>
    <cfRule type="expression" dxfId="383" priority="216">
      <formula>C52=""</formula>
    </cfRule>
    <cfRule type="cellIs" dxfId="382" priority="208" operator="equal">
      <formula>" "</formula>
    </cfRule>
  </conditionalFormatting>
  <conditionalFormatting sqref="C53">
    <cfRule type="cellIs" dxfId="381" priority="266" operator="equal">
      <formula>"หมวดหมู่ข้อมูล"</formula>
    </cfRule>
  </conditionalFormatting>
  <conditionalFormatting sqref="C54">
    <cfRule type="cellIs" dxfId="380" priority="206" operator="equal">
      <formula>" "</formula>
    </cfRule>
    <cfRule type="expression" dxfId="379" priority="205">
      <formula>ISNUMBER(SEARCH("ข้อมูล",TRIM($C54)))</formula>
    </cfRule>
  </conditionalFormatting>
  <conditionalFormatting sqref="C56">
    <cfRule type="cellIs" dxfId="378" priority="515" operator="equal">
      <formula>"คลิกที่นี่ เพื่อประเมินระดับชั้นข้อมูล/ประเภทข้อมูล ต่อไป"</formula>
    </cfRule>
    <cfRule type="containsText" dxfId="377" priority="512" operator="containsText" text="ลับ ">
      <formula>NOT(ISERROR(SEARCH("ลับ ",C56)))</formula>
    </cfRule>
    <cfRule type="containsText" dxfId="376" priority="513" operator="containsText" text="ลับมาก">
      <formula>NOT(ISERROR(SEARCH("ลับมาก",C56)))</formula>
    </cfRule>
    <cfRule type="containsText" dxfId="375" priority="514" operator="containsText" text="ลับที่สุด">
      <formula>NOT(ISERROR(SEARCH("ลับที่สุด",C56)))</formula>
    </cfRule>
    <cfRule type="containsText" dxfId="374" priority="516" operator="containsText" text="เผยแพร่ภายในองค์กร">
      <formula>NOT(ISERROR(SEARCH("เผยแพร่ภายในองค์กร",C56)))</formula>
    </cfRule>
    <cfRule type="containsText" dxfId="373" priority="517" operator="containsText" text="เปิดเผย">
      <formula>NOT(ISERROR(SEARCH("เปิดเผย",C56)))</formula>
    </cfRule>
    <cfRule type="containsText" dxfId="372" priority="518" stopIfTrue="1" operator="containsText" text="ลับ ">
      <formula>NOT(ISERROR(SEARCH("ลับ ",C56)))</formula>
    </cfRule>
    <cfRule type="containsText" dxfId="371" priority="519" operator="containsText" text="ลับมาก">
      <formula>NOT(ISERROR(SEARCH("ลับมาก",C56)))</formula>
    </cfRule>
    <cfRule type="containsText" dxfId="370" priority="520" operator="containsText" text="ลับที่สุด">
      <formula>NOT(ISERROR(SEARCH("ลับที่สุด",C56)))</formula>
    </cfRule>
  </conditionalFormatting>
  <conditionalFormatting sqref="C72">
    <cfRule type="expression" dxfId="369" priority="115">
      <formula>C72=""</formula>
    </cfRule>
    <cfRule type="expression" dxfId="368" priority="114">
      <formula>ISNUMBER(SEARCH("มั่นคง",TRIM($C$72)))</formula>
    </cfRule>
  </conditionalFormatting>
  <conditionalFormatting sqref="C73">
    <cfRule type="cellIs" dxfId="367" priority="178" operator="equal">
      <formula>" "</formula>
    </cfRule>
    <cfRule type="expression" dxfId="366" priority="177">
      <formula>ISNUMBER(SEARCH("กรรมการ",TRIM($C$73)))</formula>
    </cfRule>
    <cfRule type="expression" dxfId="365" priority="179">
      <formula>C73=""</formula>
    </cfRule>
  </conditionalFormatting>
  <conditionalFormatting sqref="C77">
    <cfRule type="expression" dxfId="364" priority="69">
      <formula>C77=""</formula>
    </cfRule>
    <cfRule type="expression" dxfId="363" priority="70">
      <formula>ISNUMBER(SEARCH("ส่วนที่ 1",TRIM($C$29)))</formula>
    </cfRule>
    <cfRule type="expression" dxfId="362" priority="65">
      <formula>ISNUMBER(SEARCH("คลิก",TRIM($C$77)))</formula>
    </cfRule>
    <cfRule type="expression" dxfId="361" priority="64">
      <formula>ISNUMBER(SEARCH("จบ",TRIM($C$77)))</formula>
    </cfRule>
    <cfRule type="cellIs" dxfId="360" priority="68" operator="equal">
      <formula>" "</formula>
    </cfRule>
  </conditionalFormatting>
  <conditionalFormatting sqref="C80">
    <cfRule type="containsText" dxfId="359" priority="316" operator="containsText" text="ลับ ">
      <formula>NOT(ISERROR(SEARCH("ลับ ",C80)))</formula>
    </cfRule>
    <cfRule type="containsText" dxfId="358" priority="317" operator="containsText" text="ลับมาก">
      <formula>NOT(ISERROR(SEARCH("ลับมาก",C80)))</formula>
    </cfRule>
    <cfRule type="containsText" dxfId="357" priority="318" operator="containsText" text="ลับที่สุด">
      <formula>NOT(ISERROR(SEARCH("ลับที่สุด",C80)))</formula>
    </cfRule>
    <cfRule type="cellIs" dxfId="356" priority="319" operator="equal">
      <formula>"จบการประเมิน"</formula>
    </cfRule>
    <cfRule type="containsText" dxfId="355" priority="320" operator="containsText" text="เผยแพร่ภายในองค์กร">
      <formula>NOT(ISERROR(SEARCH("เผยแพร่ภายในองค์กร",C80)))</formula>
    </cfRule>
    <cfRule type="containsText" dxfId="354" priority="321" operator="containsText" text="เปิดเผย">
      <formula>NOT(ISERROR(SEARCH("เปิดเผย",C80)))</formula>
    </cfRule>
    <cfRule type="containsText" dxfId="353" priority="322" stopIfTrue="1" operator="containsText" text="ลับ ">
      <formula>NOT(ISERROR(SEARCH("ลับ ",C80)))</formula>
    </cfRule>
    <cfRule type="containsText" dxfId="352" priority="324" operator="containsText" text="ลับที่สุด">
      <formula>NOT(ISERROR(SEARCH("ลับที่สุด",C80)))</formula>
    </cfRule>
    <cfRule type="containsText" dxfId="351" priority="323" operator="containsText" text="ลับมาก">
      <formula>NOT(ISERROR(SEARCH("ลับมาก",C80)))</formula>
    </cfRule>
    <cfRule type="cellIs" dxfId="350" priority="315" stopIfTrue="1" operator="equal">
      <formula>"จบการทำแบบประเมิน ไม่ต้องทำในส่วนที่ 2"</formula>
    </cfRule>
  </conditionalFormatting>
  <conditionalFormatting sqref="C30:D30">
    <cfRule type="containsText" dxfId="349" priority="16" operator="containsText" text="ลับที่สุด">
      <formula>NOT(ISERROR(SEARCH("ลับที่สุด",C30)))</formula>
    </cfRule>
    <cfRule type="containsText" dxfId="348" priority="15" operator="containsText" text="ลับมาก">
      <formula>NOT(ISERROR(SEARCH("ลับมาก",C30)))</formula>
    </cfRule>
    <cfRule type="containsText" dxfId="347" priority="14" operator="containsText" text="ลับ ">
      <formula>NOT(ISERROR(SEARCH("ลับ ",C30)))</formula>
    </cfRule>
    <cfRule type="cellIs" dxfId="346" priority="13" operator="equal">
      <formula>" "</formula>
    </cfRule>
  </conditionalFormatting>
  <conditionalFormatting sqref="C46:D46">
    <cfRule type="expression" dxfId="345" priority="282">
      <formula>C46=""</formula>
    </cfRule>
  </conditionalFormatting>
  <conditionalFormatting sqref="C46:D49">
    <cfRule type="cellIs" dxfId="344" priority="269" operator="equal">
      <formula>" "</formula>
    </cfRule>
  </conditionalFormatting>
  <conditionalFormatting sqref="C53:D53">
    <cfRule type="expression" dxfId="343" priority="267">
      <formula>C53=""</formula>
    </cfRule>
  </conditionalFormatting>
  <conditionalFormatting sqref="C72:D72">
    <cfRule type="cellIs" dxfId="342" priority="110" operator="equal">
      <formula>" "</formula>
    </cfRule>
  </conditionalFormatting>
  <conditionalFormatting sqref="C28:E28">
    <cfRule type="expression" dxfId="341" priority="26">
      <formula>ISNUMBER(SEARCH("ควร",TRIM($C$28)))</formula>
    </cfRule>
    <cfRule type="expression" dxfId="340" priority="25">
      <formula>ISNUMBER(SEARCH("เปิด",TRIM($C$28)))</formula>
    </cfRule>
    <cfRule type="expression" dxfId="339" priority="24">
      <formula>ISNUMBER(SEARCH("ประกาศ",TRIM($C$28)))</formula>
    </cfRule>
  </conditionalFormatting>
  <conditionalFormatting sqref="C30:E30">
    <cfRule type="containsText" dxfId="338" priority="9" operator="containsText" text="เปิดเผย">
      <formula>NOT(ISERROR(SEARCH("เปิดเผย",C30)))</formula>
    </cfRule>
    <cfRule type="containsText" dxfId="337" priority="8" operator="containsText" text="เผยแพร่ภายในองค์กร">
      <formula>NOT(ISERROR(SEARCH("เผยแพร่ภายในองค์กร",C30)))</formula>
    </cfRule>
  </conditionalFormatting>
  <conditionalFormatting sqref="C52:E52">
    <cfRule type="expression" dxfId="336" priority="207">
      <formula>ISNUMBER(SEARCH("ควร",TRIM($C$52)))</formula>
    </cfRule>
    <cfRule type="expression" dxfId="335" priority="72">
      <formula>ISNUMBER(SEARCH("ข้อมูล",TRIM($C$52)))</formula>
    </cfRule>
  </conditionalFormatting>
  <conditionalFormatting sqref="C77:E77">
    <cfRule type="expression" dxfId="334" priority="66">
      <formula>ISNUMBER(SEARCH("ข้อมูล",TRIM($C$52)))</formula>
    </cfRule>
    <cfRule type="expression" dxfId="333" priority="67">
      <formula>ISNUMBER(SEARCH("ควร",TRIM($C$52)))</formula>
    </cfRule>
  </conditionalFormatting>
  <conditionalFormatting sqref="D46">
    <cfRule type="expression" dxfId="332" priority="271">
      <formula>ISNUMBER(SEARCH("ใช่",TRIM($D$46)))</formula>
    </cfRule>
  </conditionalFormatting>
  <conditionalFormatting sqref="D47:D48">
    <cfRule type="expression" dxfId="331" priority="172">
      <formula>ISNUMBER(SEARCH("ข้อมูล", TRIM(C47)))</formula>
    </cfRule>
  </conditionalFormatting>
  <conditionalFormatting sqref="D47:D49">
    <cfRule type="expression" dxfId="330" priority="286">
      <formula>" =ISNUMBER(SEARCH(""ข้อมูล"",TRIM($B$44)))"</formula>
    </cfRule>
  </conditionalFormatting>
  <conditionalFormatting sqref="D53">
    <cfRule type="cellIs" dxfId="329" priority="339" operator="equal">
      <formula>"การจัดระดับชั้นข้อมูล"</formula>
    </cfRule>
  </conditionalFormatting>
  <conditionalFormatting sqref="D54">
    <cfRule type="expression" dxfId="328" priority="188">
      <formula>ISNUMBER(SEARCH("ลับ",TRIM($D54)))</formula>
    </cfRule>
    <cfRule type="cellIs" dxfId="327" priority="189" operator="equal">
      <formula>" "</formula>
    </cfRule>
    <cfRule type="expression" dxfId="326" priority="190">
      <formula>ISNUMBER(SEARCH("เปิด",TRIM($D54)))</formula>
    </cfRule>
  </conditionalFormatting>
  <conditionalFormatting sqref="D55">
    <cfRule type="expression" dxfId="325" priority="200">
      <formula>ISNUMBER(SEARCH("เปิด",TRIM($D55)))</formula>
    </cfRule>
  </conditionalFormatting>
  <conditionalFormatting sqref="D70">
    <cfRule type="containsText" dxfId="324" priority="508" operator="containsText" text="ต่ำ">
      <formula>NOT(ISERROR(SEARCH("ต่ำ",D70)))</formula>
    </cfRule>
    <cfRule type="containsText" dxfId="323" priority="506" operator="containsText" text="สูงมาก">
      <formula>NOT(ISERROR(SEARCH("สูงมาก",D70)))</formula>
    </cfRule>
    <cfRule type="containsText" dxfId="322" priority="507" operator="containsText" text="สูง">
      <formula>NOT(ISERROR(SEARCH("สูง",D70)))</formula>
    </cfRule>
    <cfRule type="containsText" dxfId="321" priority="509" operator="containsText" text="ต่ำมาก">
      <formula>NOT(ISERROR(SEARCH("ต่ำมาก",D70)))</formula>
    </cfRule>
    <cfRule type="containsText" dxfId="320" priority="510" operator="containsText" text="ปานกลาง">
      <formula>NOT(ISERROR(SEARCH("ปานกลาง",D70)))</formula>
    </cfRule>
  </conditionalFormatting>
  <conditionalFormatting sqref="D72">
    <cfRule type="expression" dxfId="319" priority="112">
      <formula>D72=""</formula>
    </cfRule>
    <cfRule type="expression" dxfId="318" priority="111">
      <formula>ISNUMBER(SEARCH("ใช่",TRIM($C$72)))</formula>
    </cfRule>
  </conditionalFormatting>
  <conditionalFormatting sqref="D73">
    <cfRule type="expression" dxfId="317" priority="159">
      <formula>" =ISNUMBER(SEARCH(""ข้อมูล"",TRIM($B$44)))"</formula>
    </cfRule>
    <cfRule type="cellIs" dxfId="316" priority="158" operator="equal">
      <formula>" "</formula>
    </cfRule>
    <cfRule type="expression" dxfId="315" priority="157">
      <formula>ISNUMBER(SEARCH("มั่นคง", TRIM(C73)))</formula>
    </cfRule>
  </conditionalFormatting>
  <conditionalFormatting sqref="D79:D82">
    <cfRule type="containsText" dxfId="314" priority="551" operator="containsText" text="ลับ">
      <formula>NOT(ISERROR(SEARCH("ลับ",D79)))</formula>
    </cfRule>
    <cfRule type="containsText" dxfId="313" priority="170" operator="containsText" text="ลับที่สุด">
      <formula>NOT(ISERROR(SEARCH("ลับที่สุด",D79)))</formula>
    </cfRule>
    <cfRule type="cellIs" dxfId="312" priority="550" operator="equal">
      <formula>" "</formula>
    </cfRule>
    <cfRule type="cellIs" dxfId="311" priority="549" operator="equal">
      <formula>"เผยแพร่ภายในองค์กร"</formula>
    </cfRule>
    <cfRule type="cellIs" dxfId="310" priority="171" operator="equal">
      <formula>"เปิดเผย"</formula>
    </cfRule>
    <cfRule type="containsText" dxfId="309" priority="552" operator="containsText" text="ลับมาก">
      <formula>NOT(ISERROR(SEARCH("ลับมาก",D79)))</formula>
    </cfRule>
  </conditionalFormatting>
  <conditionalFormatting sqref="D5:F5 E7:F7">
    <cfRule type="expression" dxfId="308" priority="616">
      <formula>ISNUMBER(SEARCH("คลิก",TRIM($B$3)))</formula>
    </cfRule>
  </conditionalFormatting>
  <conditionalFormatting sqref="D29:F29">
    <cfRule type="expression" dxfId="307" priority="310">
      <formula>ISNUMBER(SEARCH("ข้อมูล",TRIM($E$29)))</formula>
    </cfRule>
  </conditionalFormatting>
  <conditionalFormatting sqref="D29:G29">
    <cfRule type="expression" dxfId="306" priority="309">
      <formula>D29=""</formula>
    </cfRule>
  </conditionalFormatting>
  <conditionalFormatting sqref="D55:G55">
    <cfRule type="cellIs" dxfId="305" priority="199" operator="equal">
      <formula>" "</formula>
    </cfRule>
  </conditionalFormatting>
  <conditionalFormatting sqref="E17">
    <cfRule type="cellIs" dxfId="304" priority="4" operator="equal">
      <formula>"คำถามเพิ่มเติม"</formula>
    </cfRule>
  </conditionalFormatting>
  <conditionalFormatting sqref="E30">
    <cfRule type="expression" dxfId="303" priority="10">
      <formula>ISNUMBER(SEARCH("Data",TRIM($E30)))</formula>
    </cfRule>
  </conditionalFormatting>
  <conditionalFormatting sqref="E18:F18">
    <cfRule type="cellIs" dxfId="302" priority="42" operator="equal">
      <formula>"คลิกที่นี่ เพื่อประเมินระดับชั้นข้อมูล/ประเภทข้อมูล ต่อไป"</formula>
    </cfRule>
    <cfRule type="cellIs" dxfId="301" priority="41" stopIfTrue="1" operator="equal">
      <formula>"สอดคล้องตามนโยบาย และแผนความมั่นคงแห่งชาติฯ* หรือไม่ ?"</formula>
    </cfRule>
    <cfRule type="cellIs" dxfId="300" priority="40" operator="equal">
      <formula>"จบคำถามในส่วนที่ 1"</formula>
    </cfRule>
    <cfRule type="containsText" dxfId="299" priority="44" operator="containsText" text="ลับ ">
      <formula>NOT(ISERROR(SEARCH("ลับ ",E18)))</formula>
    </cfRule>
    <cfRule type="containsText" dxfId="298" priority="45" operator="containsText" text="ลับมาก">
      <formula>NOT(ISERROR(SEARCH("ลับมาก",E18)))</formula>
    </cfRule>
    <cfRule type="containsText" dxfId="297" priority="43" operator="containsText" text="เผยแพร่ภายในองค์กร">
      <formula>NOT(ISERROR(SEARCH("เผยแพร่ภายในองค์กร",E18)))</formula>
    </cfRule>
  </conditionalFormatting>
  <conditionalFormatting sqref="E53:F53">
    <cfRule type="expression" dxfId="296" priority="614">
      <formula>E53=""</formula>
    </cfRule>
    <cfRule type="expression" dxfId="295" priority="615">
      <formula>ISNUMBER(SEARCH("ข้อมูล",TRIM($E$29)))</formula>
    </cfRule>
  </conditionalFormatting>
  <conditionalFormatting sqref="E54:F54">
    <cfRule type="expression" dxfId="294" priority="186">
      <formula>ISNUMBER(SEARCH("Data",TRIM($E54)))</formula>
    </cfRule>
  </conditionalFormatting>
  <conditionalFormatting sqref="E54:G54">
    <cfRule type="cellIs" dxfId="293" priority="187" operator="equal">
      <formula>" "</formula>
    </cfRule>
  </conditionalFormatting>
  <conditionalFormatting sqref="E53:H53 G54 E55:G55">
    <cfRule type="containsText" dxfId="292" priority="523" operator="containsText" text="เผยแพร่ภายในองค์กร">
      <formula>NOT(ISERROR(SEARCH("เผยแพร่ภายในองค์กร",E53)))</formula>
    </cfRule>
    <cfRule type="containsText" dxfId="291" priority="524" operator="containsText" text="เปิดเผย">
      <formula>NOT(ISERROR(SEARCH("เปิดเผย",E53)))</formula>
    </cfRule>
    <cfRule type="containsText" dxfId="290" priority="531" operator="containsText" text="ลับ ">
      <formula>NOT(ISERROR(SEARCH("ลับ ",E53)))</formula>
    </cfRule>
    <cfRule type="containsText" dxfId="289" priority="532" operator="containsText" text="ลับมาก">
      <formula>NOT(ISERROR(SEARCH("ลับมาก",E53)))</formula>
    </cfRule>
    <cfRule type="containsText" dxfId="288" priority="533" operator="containsText" text="ลับที่สุด">
      <formula>NOT(ISERROR(SEARCH("ลับที่สุด",E53)))</formula>
    </cfRule>
  </conditionalFormatting>
  <conditionalFormatting sqref="E53:H53">
    <cfRule type="cellIs" dxfId="287" priority="530" operator="equal">
      <formula>" "</formula>
    </cfRule>
  </conditionalFormatting>
  <conditionalFormatting sqref="F17">
    <cfRule type="cellIs" dxfId="286" priority="1" operator="equal">
      <formula>"จงเลือกคำตอบ"</formula>
    </cfRule>
  </conditionalFormatting>
  <conditionalFormatting sqref="F27:F28">
    <cfRule type="expression" dxfId="285" priority="39">
      <formula>ISNUMBER(SEARCH("Data",TRIM($E27)))</formula>
    </cfRule>
    <cfRule type="containsText" dxfId="284" priority="38" operator="containsText" text="เปิดเผย">
      <formula>NOT(ISERROR(SEARCH("เปิดเผย",F27)))</formula>
    </cfRule>
    <cfRule type="containsText" dxfId="283" priority="37" operator="containsText" text="เผยแพร่ภายในองค์กร">
      <formula>NOT(ISERROR(SEARCH("เผยแพร่ภายในองค์กร",F27)))</formula>
    </cfRule>
  </conditionalFormatting>
  <conditionalFormatting sqref="H28">
    <cfRule type="cellIs" dxfId="282" priority="361" operator="equal">
      <formula>" "</formula>
    </cfRule>
    <cfRule type="expression" dxfId="281" priority="608">
      <formula>ISNUMBER(SEARCH("ส่วนที่ 1",TRIM($C$29)))</formula>
    </cfRule>
  </conditionalFormatting>
  <conditionalFormatting sqref="H54 C56">
    <cfRule type="cellIs" dxfId="280" priority="511" stopIfTrue="1" operator="equal">
      <formula>"จบการทำแบบประเมิน ไม่ต้องทำในส่วนที่ 2"</formula>
    </cfRule>
  </conditionalFormatting>
  <conditionalFormatting sqref="I74">
    <cfRule type="cellIs" dxfId="279" priority="501" operator="equal">
      <formula>"ประเภทของบริการคลาวด์ที่แนะนำ"</formula>
    </cfRule>
  </conditionalFormatting>
  <dataValidations count="15">
    <dataValidation type="list" allowBlank="1" showInputMessage="1" showErrorMessage="1" sqref="D41" xr:uid="{33FAE195-13BD-43E4-9673-F995D6C6EF92}">
      <formula1>INDIRECT(IF(TRIM(C41)="ด้านความลับ (Confidentiality)","Confidentiality","empty"))</formula1>
    </dataValidation>
    <dataValidation type="list" allowBlank="1" showInputMessage="1" showErrorMessage="1" sqref="D42" xr:uid="{E58C04F7-CEBA-4452-99AE-644F58F3BBCA}">
      <formula1>INDIRECT(IF(TRIM(C42)="ด้านความถูกต้อง สมบูรณ์ (Integrity)","Integrity","empty"))</formula1>
    </dataValidation>
    <dataValidation type="list" allowBlank="1" showInputMessage="1" showErrorMessage="1" sqref="D65" xr:uid="{7B0FFDE2-1CE8-4640-9434-E41F5D7D17EE}">
      <formula1>INDIRECT(IF(TRIM(C65)="ด้านการเงินและสินทรัพย์","reputation","empty"))</formula1>
    </dataValidation>
    <dataValidation type="list" allowBlank="1" showInputMessage="1" showErrorMessage="1" sqref="D66" xr:uid="{F3124253-F42C-4E21-9A40-9B69CB7CEDFE}">
      <formula1>INDIRECT(IF(TRIM(C66)="ด้านภาพลักษณ์/ชื่อเสียง","Operation","empty"))</formula1>
    </dataValidation>
    <dataValidation type="list" allowBlank="1" showInputMessage="1" showErrorMessage="1" sqref="D67" xr:uid="{A9721880-68F6-4E15-8B4D-BD9693541237}">
      <formula1>INDIRECT(IF(TRIM(C67)="ด้านผู้ใช้บริการหรือประชาชน","finance","empty"))</formula1>
    </dataValidation>
    <dataValidation type="list" allowBlank="1" showInputMessage="1" showErrorMessage="1" sqref="D43" xr:uid="{DE7A40C6-C6EF-4F63-9515-E0A214666E9C}">
      <formula1>INDIRECT(IF(TRIM(C43)="ด้านความพร้อมใช้งาน (Availability)","Availability","empty"))</formula1>
    </dataValidation>
    <dataValidation type="list" allowBlank="1" showInputMessage="1" showErrorMessage="1" sqref="E65:F69" xr:uid="{3B6A5CD7-41A3-4FD9-BC8F-5B3632290E2C}">
      <formula1>Likelihood</formula1>
    </dataValidation>
    <dataValidation type="list" allowBlank="1" showInputMessage="1" showErrorMessage="1" sqref="F18 D18 D20" xr:uid="{3960AC3E-4326-4BFA-9FDC-B0AC5E237765}">
      <formula1>INDIRECT(IF(IFERROR(ISNUMBER(SEARCH("ข้อมูล", TRIM(C18))), FALSE), "list1", "empty"))</formula1>
    </dataValidation>
    <dataValidation type="list" allowBlank="1" showInputMessage="1" showErrorMessage="1" sqref="D21" xr:uid="{DA92F114-E7BA-4177-80A2-EA1910A29B2D}">
      <formula1>INDIRECT(IF(ISNUMBER(SEARCH("ห้าม", TRIM(C21))), "list1", "empty"))</formula1>
    </dataValidation>
    <dataValidation type="list" allowBlank="1" showInputMessage="1" showErrorMessage="1" sqref="D73 D47" xr:uid="{F545977B-F45F-42E4-8764-C6D7B5036D54}">
      <formula1>INDIRECT(IF(IFERROR(ISNUMBER(SEARCH("มั่นคง", TRIM(C47))), FALSE), "list1", "empty"))</formula1>
    </dataValidation>
    <dataValidation type="list" allowBlank="1" showInputMessage="1" showErrorMessage="1" sqref="D23" xr:uid="{22302148-404B-4D3E-B2EF-60ECF67E7329}">
      <formula1>INDIRECT(IF(ISNUMBER(SEARCH("ข้อมูล", TRIM(C23))), "list1", "empty"))</formula1>
    </dataValidation>
    <dataValidation type="list" allowBlank="1" showInputMessage="1" showErrorMessage="1" sqref="D17" xr:uid="{6F561838-4A9F-4490-94B3-46D50035681A}">
      <formula1>list1</formula1>
    </dataValidation>
    <dataValidation type="list" allowBlank="1" showInputMessage="1" showErrorMessage="1" sqref="D68" xr:uid="{C8B6F371-2FA4-464F-B352-567016825EC3}">
      <formula1>INDIRECT(IF(TRIM(C68)="ด้านการดำเนินงานตามกฎหมาย","Law","empty"))</formula1>
    </dataValidation>
    <dataValidation type="list" allowBlank="1" showInputMessage="1" showErrorMessage="1" sqref="D22" xr:uid="{D9BFFDD0-75A0-4584-816C-B294367A1764}">
      <formula1>INDIRECT(IF(ISNUMBER(SEARCH("ต้อง", TRIM(C22))), "list1", "empty"))</formula1>
    </dataValidation>
    <dataValidation type="list" allowBlank="1" showInputMessage="1" showErrorMessage="1" sqref="D19" xr:uid="{896707C3-3BAB-4A9E-AF3F-51ADED66FE1F}">
      <formula1>INDIRECT(IF(IFERROR(ISNUMBER(SEARCH("ห้าม", TRIM(C19))), FALSE), "list1", "empty"))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D1945B6-8154-4038-A2AA-9D974CD92D61}">
          <x14:formula1>
            <xm:f>Dropdown!$R$12:$R$14</xm:f>
          </x14:formula1>
          <xm:sqref>D48:D49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D8234-1199-42F3-9C8D-2BB21AD6EB5C}">
  <sheetPr codeName="Sheet2"/>
  <dimension ref="A1:G5"/>
  <sheetViews>
    <sheetView workbookViewId="0">
      <selection activeCell="C12" sqref="C12"/>
    </sheetView>
  </sheetViews>
  <sheetFormatPr defaultRowHeight="14.1"/>
  <cols>
    <col min="1" max="1" width="18.75" customWidth="1"/>
    <col min="2" max="2" width="30.875" customWidth="1"/>
    <col min="3" max="3" width="52.375" customWidth="1"/>
    <col min="4" max="4" width="39.375" customWidth="1"/>
    <col min="5" max="5" width="28.375" customWidth="1"/>
  </cols>
  <sheetData>
    <row r="1" spans="1:7" ht="21">
      <c r="A1" s="1" t="s">
        <v>145</v>
      </c>
      <c r="B1" s="665" t="s">
        <v>146</v>
      </c>
      <c r="C1" s="665" t="s">
        <v>147</v>
      </c>
      <c r="D1" s="665" t="s">
        <v>148</v>
      </c>
      <c r="E1" s="665" t="s">
        <v>149</v>
      </c>
      <c r="F1" s="2"/>
      <c r="G1" s="2"/>
    </row>
    <row r="2" spans="1:7" ht="42">
      <c r="A2" s="4" t="s">
        <v>150</v>
      </c>
      <c r="B2" s="5" t="s">
        <v>151</v>
      </c>
      <c r="C2" s="6" t="s">
        <v>152</v>
      </c>
      <c r="D2" s="7" t="s">
        <v>153</v>
      </c>
      <c r="E2" s="2"/>
      <c r="F2" s="2"/>
      <c r="G2" s="2"/>
    </row>
    <row r="3" spans="1:7" ht="21">
      <c r="A3" s="1" t="s">
        <v>154</v>
      </c>
      <c r="B3" s="3" t="s">
        <v>155</v>
      </c>
      <c r="C3" s="3" t="s">
        <v>156</v>
      </c>
      <c r="D3" s="2" t="s">
        <v>157</v>
      </c>
      <c r="E3" s="2"/>
      <c r="F3" s="2"/>
      <c r="G3" s="2"/>
    </row>
    <row r="4" spans="1:7" ht="21">
      <c r="B4" s="3" t="s">
        <v>158</v>
      </c>
      <c r="C4" s="2"/>
      <c r="D4" s="2"/>
      <c r="E4" s="2"/>
      <c r="F4" s="2"/>
      <c r="G4" s="2"/>
    </row>
    <row r="5" spans="1:7">
      <c r="B5" s="2"/>
      <c r="C5" s="2"/>
      <c r="D5" s="2"/>
      <c r="E5" s="2"/>
      <c r="F5" s="2"/>
      <c r="G5" s="2"/>
    </row>
  </sheetData>
  <hyperlinks>
    <hyperlink ref="C2" r:id="rId1" xr:uid="{3308E38B-1C0E-4A37-B080-68B16CE03BFC}"/>
    <hyperlink ref="D2" r:id="rId2" xr:uid="{B9650D21-AB29-45B8-BA14-531180C62611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585DE-28CA-4694-8B52-A064D2A00D64}">
  <dimension ref="A1:EQ105"/>
  <sheetViews>
    <sheetView showGridLines="0" topLeftCell="B36" zoomScale="94" zoomScaleNormal="94" workbookViewId="0">
      <selection activeCell="E39" sqref="E39"/>
    </sheetView>
  </sheetViews>
  <sheetFormatPr defaultRowHeight="14.1"/>
  <cols>
    <col min="1" max="1" width="2.875" customWidth="1"/>
    <col min="2" max="2" width="10.25" customWidth="1"/>
    <col min="3" max="3" width="36.875" customWidth="1"/>
    <col min="4" max="4" width="30.125" customWidth="1"/>
    <col min="5" max="5" width="34" customWidth="1"/>
    <col min="6" max="6" width="30.625" customWidth="1"/>
    <col min="7" max="7" width="31.875" customWidth="1"/>
    <col min="8" max="8" width="13.125" customWidth="1"/>
    <col min="9" max="9" width="13.5" customWidth="1"/>
    <col min="10" max="10" width="27.125" customWidth="1"/>
    <col min="11" max="11" width="19.125" customWidth="1"/>
    <col min="12" max="13" width="21.75" style="285" customWidth="1"/>
    <col min="14" max="14" width="4.875" style="285" customWidth="1"/>
    <col min="15" max="17" width="24.25" style="285" customWidth="1"/>
    <col min="18" max="18" width="12" style="285" customWidth="1"/>
    <col min="19" max="147" width="8.625" style="285"/>
  </cols>
  <sheetData>
    <row r="1" spans="2:147" ht="31.5" customHeight="1">
      <c r="B1" s="523" t="s">
        <v>159</v>
      </c>
      <c r="C1" s="523"/>
      <c r="D1" s="523"/>
      <c r="E1" s="523"/>
      <c r="F1" s="523"/>
      <c r="G1" s="523"/>
      <c r="H1" s="523"/>
      <c r="I1" s="523"/>
      <c r="K1" s="422"/>
      <c r="L1"/>
      <c r="M1" s="398"/>
      <c r="N1" s="398"/>
      <c r="O1" s="398"/>
      <c r="P1" s="398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</row>
    <row r="2" spans="2:147" ht="60.95" customHeight="1">
      <c r="B2" s="524" t="s">
        <v>160</v>
      </c>
      <c r="C2" s="525"/>
      <c r="D2" s="525"/>
      <c r="E2" s="525"/>
      <c r="F2" s="525"/>
      <c r="G2" s="525"/>
      <c r="H2" s="525"/>
      <c r="I2" s="526"/>
      <c r="K2" s="422" t="s">
        <v>33</v>
      </c>
      <c r="L2" s="418"/>
    </row>
    <row r="3" spans="2:147" ht="24">
      <c r="B3" s="400"/>
      <c r="C3" s="400"/>
      <c r="D3" s="400"/>
      <c r="E3" s="401"/>
      <c r="F3" s="401"/>
      <c r="G3" s="401"/>
      <c r="H3" s="401"/>
      <c r="I3" s="401"/>
      <c r="K3" s="422" t="s">
        <v>34</v>
      </c>
      <c r="L3" s="418"/>
    </row>
    <row r="4" spans="2:147" ht="24" customHeight="1">
      <c r="B4" s="532" t="s">
        <v>161</v>
      </c>
      <c r="C4" s="532"/>
      <c r="D4" s="447" t="str">
        <f>HYPERLINK("#'Dropdown'!B10","คลิกที่นี่ ")</f>
        <v xml:space="preserve">คลิกที่นี่ </v>
      </c>
      <c r="F4" s="402"/>
      <c r="G4" s="402"/>
      <c r="H4" s="402"/>
      <c r="I4" s="401"/>
      <c r="K4" s="422"/>
      <c r="L4" s="418"/>
    </row>
    <row r="5" spans="2:147" ht="24" customHeight="1">
      <c r="B5" s="532" t="s">
        <v>162</v>
      </c>
      <c r="C5" s="532"/>
      <c r="D5" s="447" t="str">
        <f>HYPERLINK("#'Dropdown'!B35","คลิกที่นี่ ")</f>
        <v xml:space="preserve">คลิกที่นี่ </v>
      </c>
      <c r="E5" s="223"/>
      <c r="F5" s="402"/>
      <c r="G5" s="402"/>
      <c r="H5" s="402"/>
      <c r="I5" s="401"/>
      <c r="K5" s="399"/>
      <c r="L5" s="418"/>
    </row>
    <row r="6" spans="2:147" s="56" customFormat="1" ht="24" customHeight="1">
      <c r="B6" s="532" t="s">
        <v>163</v>
      </c>
      <c r="C6" s="532"/>
      <c r="D6" s="447" t="str">
        <f>HYPERLINK("#'Dropdown'!B68","คลิกที่นี่ ")</f>
        <v xml:space="preserve">คลิกที่นี่ </v>
      </c>
      <c r="F6" s="404"/>
      <c r="G6" s="404"/>
      <c r="H6" s="404"/>
      <c r="I6" s="405"/>
      <c r="K6" s="406"/>
      <c r="L6" s="418"/>
      <c r="M6" s="285"/>
      <c r="N6" s="285"/>
      <c r="O6" s="285"/>
      <c r="P6" s="285"/>
      <c r="Q6" s="285"/>
      <c r="R6" s="285"/>
      <c r="S6" s="285"/>
      <c r="T6" s="285"/>
      <c r="U6" s="285"/>
      <c r="V6" s="285"/>
      <c r="W6" s="285"/>
      <c r="X6" s="285"/>
      <c r="Y6" s="285"/>
      <c r="Z6" s="285"/>
      <c r="AA6" s="285"/>
      <c r="AB6" s="285"/>
      <c r="AC6" s="285"/>
      <c r="AD6" s="285"/>
      <c r="AE6" s="285"/>
      <c r="AF6" s="285"/>
      <c r="AG6" s="285"/>
      <c r="AH6" s="285"/>
      <c r="AI6" s="285"/>
      <c r="AJ6" s="285"/>
      <c r="AK6" s="285"/>
      <c r="AL6" s="285"/>
      <c r="AM6" s="285"/>
      <c r="AN6" s="285"/>
      <c r="AO6" s="285"/>
      <c r="AP6" s="285"/>
      <c r="AQ6" s="285"/>
      <c r="AR6" s="285"/>
      <c r="AS6" s="285"/>
      <c r="AT6" s="285"/>
      <c r="AU6" s="285"/>
      <c r="AV6" s="285"/>
      <c r="AW6" s="285"/>
      <c r="AX6" s="285"/>
      <c r="AY6" s="285"/>
      <c r="AZ6" s="285"/>
      <c r="BA6" s="285"/>
      <c r="BB6" s="285"/>
      <c r="BC6" s="285"/>
      <c r="BD6" s="285"/>
      <c r="BE6" s="285"/>
      <c r="BF6" s="285"/>
      <c r="BG6" s="285"/>
      <c r="BH6" s="285"/>
      <c r="BI6" s="285"/>
      <c r="BJ6" s="285"/>
      <c r="BK6" s="285"/>
      <c r="BL6" s="285"/>
      <c r="BM6" s="285"/>
      <c r="BN6" s="285"/>
      <c r="BO6" s="285"/>
      <c r="BP6" s="285"/>
      <c r="BQ6" s="285"/>
      <c r="BR6" s="285"/>
      <c r="BS6" s="285"/>
      <c r="BT6" s="285"/>
      <c r="BU6" s="285"/>
      <c r="BV6" s="285"/>
      <c r="BW6" s="285"/>
      <c r="BX6" s="285"/>
      <c r="BY6" s="285"/>
      <c r="BZ6" s="285"/>
      <c r="CA6" s="285"/>
      <c r="CB6" s="285"/>
      <c r="CC6" s="285"/>
      <c r="CD6" s="285"/>
      <c r="CE6" s="285"/>
      <c r="CF6" s="285"/>
      <c r="CG6" s="285"/>
      <c r="CH6" s="285"/>
      <c r="CI6" s="285"/>
      <c r="CJ6" s="285"/>
      <c r="CK6" s="285"/>
      <c r="CL6" s="285"/>
      <c r="CM6" s="285"/>
      <c r="CN6" s="285"/>
      <c r="CO6" s="285"/>
      <c r="CP6" s="285"/>
      <c r="CQ6" s="285"/>
      <c r="CR6" s="285"/>
      <c r="CS6" s="285"/>
      <c r="CT6" s="285"/>
      <c r="CU6" s="285"/>
      <c r="CV6" s="285"/>
      <c r="CW6" s="285"/>
      <c r="CX6" s="285"/>
      <c r="CY6" s="285"/>
      <c r="CZ6" s="285"/>
      <c r="DA6" s="285"/>
      <c r="DB6" s="285"/>
      <c r="DC6" s="285"/>
      <c r="DD6" s="285"/>
      <c r="DE6" s="285"/>
      <c r="DF6" s="285"/>
      <c r="DG6" s="285"/>
      <c r="DH6" s="285"/>
      <c r="DI6" s="285"/>
      <c r="DJ6" s="285"/>
      <c r="DK6" s="285"/>
      <c r="DL6" s="285"/>
      <c r="DM6" s="285"/>
      <c r="DN6" s="285"/>
      <c r="DO6" s="285"/>
      <c r="DP6" s="285"/>
      <c r="DQ6" s="285"/>
      <c r="DR6" s="285"/>
      <c r="DS6" s="285"/>
      <c r="DT6" s="285"/>
      <c r="DU6" s="285"/>
      <c r="DV6" s="285"/>
      <c r="DW6" s="285"/>
      <c r="DX6" s="285"/>
      <c r="DY6" s="285"/>
      <c r="DZ6" s="285"/>
      <c r="EA6" s="285"/>
      <c r="EB6" s="285"/>
      <c r="EC6" s="285"/>
      <c r="ED6" s="285"/>
      <c r="EE6" s="285"/>
      <c r="EF6" s="285"/>
      <c r="EG6" s="285"/>
      <c r="EH6" s="285"/>
      <c r="EI6" s="285"/>
      <c r="EJ6" s="285"/>
      <c r="EK6" s="285"/>
      <c r="EL6" s="285"/>
      <c r="EM6" s="285"/>
      <c r="EN6" s="285"/>
      <c r="EO6" s="285"/>
      <c r="EP6" s="285"/>
      <c r="EQ6" s="285"/>
    </row>
    <row r="7" spans="2:147" s="56" customFormat="1" ht="24" customHeight="1">
      <c r="B7" s="403"/>
      <c r="C7" s="403"/>
      <c r="D7" s="404"/>
      <c r="F7" s="404"/>
      <c r="G7" s="404"/>
      <c r="H7" s="404"/>
      <c r="I7" s="405"/>
      <c r="K7" s="406"/>
      <c r="L7" s="418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5"/>
      <c r="AS7" s="285"/>
      <c r="AT7" s="285"/>
      <c r="AU7" s="285"/>
      <c r="AV7" s="285"/>
      <c r="AW7" s="285"/>
      <c r="AX7" s="285"/>
      <c r="AY7" s="285"/>
      <c r="AZ7" s="285"/>
      <c r="BA7" s="285"/>
      <c r="BB7" s="285"/>
      <c r="BC7" s="285"/>
      <c r="BD7" s="285"/>
      <c r="BE7" s="285"/>
      <c r="BF7" s="285"/>
      <c r="BG7" s="285"/>
      <c r="BH7" s="285"/>
      <c r="BI7" s="285"/>
      <c r="BJ7" s="285"/>
      <c r="BK7" s="285"/>
      <c r="BL7" s="285"/>
      <c r="BM7" s="285"/>
      <c r="BN7" s="285"/>
      <c r="BO7" s="285"/>
      <c r="BP7" s="285"/>
      <c r="BQ7" s="285"/>
      <c r="BR7" s="285"/>
      <c r="BS7" s="285"/>
      <c r="BT7" s="285"/>
      <c r="BU7" s="285"/>
      <c r="BV7" s="285"/>
      <c r="BW7" s="285"/>
      <c r="BX7" s="285"/>
      <c r="BY7" s="285"/>
      <c r="BZ7" s="285"/>
      <c r="CA7" s="285"/>
      <c r="CB7" s="285"/>
      <c r="CC7" s="285"/>
      <c r="CD7" s="285"/>
      <c r="CE7" s="285"/>
      <c r="CF7" s="285"/>
      <c r="CG7" s="285"/>
      <c r="CH7" s="285"/>
      <c r="CI7" s="285"/>
      <c r="CJ7" s="285"/>
      <c r="CK7" s="285"/>
      <c r="CL7" s="285"/>
      <c r="CM7" s="285"/>
      <c r="CN7" s="285"/>
      <c r="CO7" s="285"/>
      <c r="CP7" s="285"/>
      <c r="CQ7" s="285"/>
      <c r="CR7" s="285"/>
      <c r="CS7" s="285"/>
      <c r="CT7" s="285"/>
      <c r="CU7" s="285"/>
      <c r="CV7" s="285"/>
      <c r="CW7" s="285"/>
      <c r="CX7" s="285"/>
      <c r="CY7" s="285"/>
      <c r="CZ7" s="285"/>
      <c r="DA7" s="285"/>
      <c r="DB7" s="285"/>
      <c r="DC7" s="285"/>
      <c r="DD7" s="285"/>
      <c r="DE7" s="285"/>
      <c r="DF7" s="285"/>
      <c r="DG7" s="285"/>
      <c r="DH7" s="285"/>
      <c r="DI7" s="285"/>
      <c r="DJ7" s="285"/>
      <c r="DK7" s="285"/>
      <c r="DL7" s="285"/>
      <c r="DM7" s="285"/>
      <c r="DN7" s="285"/>
      <c r="DO7" s="285"/>
      <c r="DP7" s="285"/>
      <c r="DQ7" s="285"/>
      <c r="DR7" s="285"/>
      <c r="DS7" s="285"/>
      <c r="DT7" s="285"/>
      <c r="DU7" s="285"/>
      <c r="DV7" s="285"/>
      <c r="DW7" s="285"/>
      <c r="DX7" s="285"/>
      <c r="DY7" s="285"/>
      <c r="DZ7" s="285"/>
      <c r="EA7" s="285"/>
      <c r="EB7" s="285"/>
      <c r="EC7" s="285"/>
      <c r="ED7" s="285"/>
      <c r="EE7" s="285"/>
      <c r="EF7" s="285"/>
      <c r="EG7" s="285"/>
      <c r="EH7" s="285"/>
      <c r="EI7" s="285"/>
      <c r="EJ7" s="285"/>
      <c r="EK7" s="285"/>
      <c r="EL7" s="285"/>
      <c r="EM7" s="285"/>
      <c r="EN7" s="285"/>
      <c r="EO7" s="285"/>
      <c r="EP7" s="285"/>
      <c r="EQ7" s="285"/>
    </row>
    <row r="10" spans="2:147" ht="17.45" customHeight="1">
      <c r="B10" s="531" t="s">
        <v>164</v>
      </c>
      <c r="C10" s="531"/>
      <c r="D10" s="531"/>
      <c r="E10" s="531"/>
      <c r="Q10" s="420"/>
      <c r="R10" s="420"/>
      <c r="S10" s="420"/>
    </row>
    <row r="11" spans="2:147" ht="21">
      <c r="B11" s="407" t="s">
        <v>165</v>
      </c>
      <c r="C11" s="407" t="s">
        <v>166</v>
      </c>
      <c r="D11" s="407" t="s">
        <v>167</v>
      </c>
      <c r="E11" s="407" t="s">
        <v>168</v>
      </c>
      <c r="Q11" s="421" t="s">
        <v>169</v>
      </c>
      <c r="R11" s="421" t="s">
        <v>170</v>
      </c>
      <c r="S11" s="420"/>
    </row>
    <row r="12" spans="2:147" ht="21">
      <c r="B12" s="409">
        <v>1</v>
      </c>
      <c r="C12" s="445" t="s">
        <v>171</v>
      </c>
      <c r="D12" s="445" t="s">
        <v>172</v>
      </c>
      <c r="E12" s="445" t="s">
        <v>173</v>
      </c>
      <c r="S12" s="420"/>
    </row>
    <row r="13" spans="2:147" ht="21">
      <c r="B13" s="410">
        <v>2</v>
      </c>
      <c r="C13" s="446" t="s">
        <v>174</v>
      </c>
      <c r="D13" s="446" t="s">
        <v>175</v>
      </c>
      <c r="E13" s="446" t="s">
        <v>176</v>
      </c>
      <c r="S13" s="420"/>
    </row>
    <row r="14" spans="2:147" ht="21">
      <c r="B14" s="410">
        <v>3</v>
      </c>
      <c r="C14" s="446" t="s">
        <v>177</v>
      </c>
      <c r="D14" s="446" t="s">
        <v>178</v>
      </c>
      <c r="E14" s="446" t="s">
        <v>179</v>
      </c>
      <c r="Q14" s="420"/>
      <c r="R14" s="420"/>
      <c r="S14" s="420"/>
    </row>
    <row r="21" spans="1:11" ht="42" customHeight="1"/>
    <row r="30" spans="1:11">
      <c r="A30" s="305"/>
      <c r="B30" s="305"/>
      <c r="C30" s="305"/>
      <c r="D30" s="305"/>
      <c r="E30" s="305"/>
      <c r="F30" s="305"/>
      <c r="G30" s="305"/>
      <c r="H30" s="305"/>
      <c r="I30" s="305"/>
      <c r="J30" s="305"/>
      <c r="K30" s="305"/>
    </row>
    <row r="33" spans="2:147" ht="9.6" customHeight="1"/>
    <row r="34" spans="2:147" ht="31.5" customHeight="1">
      <c r="B34" s="531" t="s">
        <v>180</v>
      </c>
      <c r="C34" s="531"/>
      <c r="D34" s="531"/>
      <c r="E34" s="531"/>
      <c r="F34" s="531"/>
      <c r="G34" s="531"/>
      <c r="H34" s="531"/>
      <c r="I34" s="531"/>
      <c r="J34" s="531"/>
    </row>
    <row r="35" spans="2:147" s="56" customFormat="1" ht="31.5" customHeight="1">
      <c r="B35" s="530" t="s">
        <v>181</v>
      </c>
      <c r="C35" s="530"/>
      <c r="D35" s="530"/>
      <c r="E35" s="530"/>
      <c r="F35" s="530"/>
      <c r="G35" s="530"/>
      <c r="H35" s="411"/>
      <c r="I35" s="411"/>
      <c r="J35" s="411"/>
      <c r="L35" s="285"/>
      <c r="M35" s="285"/>
      <c r="N35" s="285"/>
      <c r="O35" s="285"/>
      <c r="P35" s="285"/>
      <c r="Q35" s="285"/>
      <c r="R35" s="285"/>
      <c r="S35" s="285"/>
      <c r="T35" s="285"/>
      <c r="U35" s="285"/>
      <c r="V35" s="285"/>
      <c r="W35" s="285"/>
      <c r="X35" s="285"/>
      <c r="Y35" s="285"/>
      <c r="Z35" s="285"/>
      <c r="AA35" s="285"/>
      <c r="AB35" s="285"/>
      <c r="AC35" s="285"/>
      <c r="AD35" s="285"/>
      <c r="AE35" s="285"/>
      <c r="AF35" s="285"/>
      <c r="AG35" s="285"/>
      <c r="AH35" s="285"/>
      <c r="AI35" s="285"/>
      <c r="AJ35" s="285"/>
      <c r="AK35" s="285"/>
      <c r="AL35" s="285"/>
      <c r="AM35" s="285"/>
      <c r="AN35" s="285"/>
      <c r="AO35" s="285"/>
      <c r="AP35" s="285"/>
      <c r="AQ35" s="285"/>
      <c r="AR35" s="285"/>
      <c r="AS35" s="285"/>
      <c r="AT35" s="285"/>
      <c r="AU35" s="285"/>
      <c r="AV35" s="285"/>
      <c r="AW35" s="285"/>
      <c r="AX35" s="285"/>
      <c r="AY35" s="285"/>
      <c r="AZ35" s="285"/>
      <c r="BA35" s="285"/>
      <c r="BB35" s="285"/>
      <c r="BC35" s="285"/>
      <c r="BD35" s="285"/>
      <c r="BE35" s="285"/>
      <c r="BF35" s="285"/>
      <c r="BG35" s="285"/>
      <c r="BH35" s="285"/>
      <c r="BI35" s="285"/>
      <c r="BJ35" s="285"/>
      <c r="BK35" s="285"/>
      <c r="BL35" s="285"/>
      <c r="BM35" s="285"/>
      <c r="BN35" s="285"/>
      <c r="BO35" s="285"/>
      <c r="BP35" s="285"/>
      <c r="BQ35" s="285"/>
      <c r="BR35" s="285"/>
      <c r="BS35" s="285"/>
      <c r="BT35" s="285"/>
      <c r="BU35" s="285"/>
      <c r="BV35" s="285"/>
      <c r="BW35" s="285"/>
      <c r="BX35" s="285"/>
      <c r="BY35" s="285"/>
      <c r="BZ35" s="285"/>
      <c r="CA35" s="285"/>
      <c r="CB35" s="285"/>
      <c r="CC35" s="285"/>
      <c r="CD35" s="285"/>
      <c r="CE35" s="285"/>
      <c r="CF35" s="285"/>
      <c r="CG35" s="285"/>
      <c r="CH35" s="285"/>
      <c r="CI35" s="285"/>
      <c r="CJ35" s="285"/>
      <c r="CK35" s="285"/>
      <c r="CL35" s="285"/>
      <c r="CM35" s="285"/>
      <c r="CN35" s="285"/>
      <c r="CO35" s="285"/>
      <c r="CP35" s="285"/>
      <c r="CQ35" s="285"/>
      <c r="CR35" s="285"/>
      <c r="CS35" s="285"/>
      <c r="CT35" s="285"/>
      <c r="CU35" s="285"/>
      <c r="CV35" s="285"/>
      <c r="CW35" s="285"/>
      <c r="CX35" s="285"/>
      <c r="CY35" s="285"/>
      <c r="CZ35" s="285"/>
      <c r="DA35" s="285"/>
      <c r="DB35" s="285"/>
      <c r="DC35" s="285"/>
      <c r="DD35" s="285"/>
      <c r="DE35" s="285"/>
      <c r="DF35" s="285"/>
      <c r="DG35" s="285"/>
      <c r="DH35" s="285"/>
      <c r="DI35" s="285"/>
      <c r="DJ35" s="285"/>
      <c r="DK35" s="285"/>
      <c r="DL35" s="285"/>
      <c r="DM35" s="285"/>
      <c r="DN35" s="285"/>
      <c r="DO35" s="285"/>
      <c r="DP35" s="285"/>
      <c r="DQ35" s="285"/>
      <c r="DR35" s="285"/>
      <c r="DS35" s="285"/>
      <c r="DT35" s="285"/>
      <c r="DU35" s="285"/>
      <c r="DV35" s="285"/>
      <c r="DW35" s="285"/>
      <c r="DX35" s="285"/>
      <c r="DY35" s="285"/>
      <c r="DZ35" s="285"/>
      <c r="EA35" s="285"/>
      <c r="EB35" s="285"/>
      <c r="EC35" s="285"/>
      <c r="ED35" s="285"/>
      <c r="EE35" s="285"/>
      <c r="EF35" s="285"/>
      <c r="EG35" s="285"/>
      <c r="EH35" s="285"/>
      <c r="EI35" s="285"/>
      <c r="EJ35" s="285"/>
      <c r="EK35" s="285"/>
      <c r="EL35" s="285"/>
      <c r="EM35" s="285"/>
      <c r="EN35" s="285"/>
      <c r="EO35" s="285"/>
      <c r="EP35" s="285"/>
      <c r="EQ35" s="285"/>
    </row>
    <row r="36" spans="2:147" s="56" customFormat="1" ht="35.1" customHeight="1">
      <c r="B36" s="527" t="s">
        <v>182</v>
      </c>
      <c r="C36" s="528"/>
      <c r="D36" s="528"/>
      <c r="E36" s="528"/>
      <c r="F36" s="528"/>
      <c r="G36" s="528"/>
      <c r="H36" s="411"/>
      <c r="I36" s="529" t="s">
        <v>183</v>
      </c>
      <c r="J36" s="529"/>
      <c r="L36" s="285"/>
      <c r="M36" s="285"/>
      <c r="N36" s="285"/>
      <c r="O36" s="285"/>
      <c r="P36" s="285"/>
      <c r="Q36" s="285"/>
      <c r="R36" s="285"/>
      <c r="S36" s="285"/>
      <c r="T36" s="285"/>
      <c r="U36" s="285"/>
      <c r="V36" s="285"/>
      <c r="W36" s="285"/>
      <c r="X36" s="285"/>
      <c r="Y36" s="285"/>
      <c r="Z36" s="285"/>
      <c r="AA36" s="285"/>
      <c r="AB36" s="285"/>
      <c r="AC36" s="285"/>
      <c r="AD36" s="285"/>
      <c r="AE36" s="285"/>
      <c r="AF36" s="285"/>
      <c r="AG36" s="285"/>
      <c r="AH36" s="285"/>
      <c r="AI36" s="285"/>
      <c r="AJ36" s="285"/>
      <c r="AK36" s="285"/>
      <c r="AL36" s="285"/>
      <c r="AM36" s="285"/>
      <c r="AN36" s="285"/>
      <c r="AO36" s="285"/>
      <c r="AP36" s="285"/>
      <c r="AQ36" s="285"/>
      <c r="AR36" s="285"/>
      <c r="AS36" s="285"/>
      <c r="AT36" s="285"/>
      <c r="AU36" s="285"/>
      <c r="AV36" s="285"/>
      <c r="AW36" s="285"/>
      <c r="AX36" s="285"/>
      <c r="AY36" s="285"/>
      <c r="AZ36" s="285"/>
      <c r="BA36" s="285"/>
      <c r="BB36" s="285"/>
      <c r="BC36" s="285"/>
      <c r="BD36" s="285"/>
      <c r="BE36" s="285"/>
      <c r="BF36" s="285"/>
      <c r="BG36" s="285"/>
      <c r="BH36" s="285"/>
      <c r="BI36" s="285"/>
      <c r="BJ36" s="285"/>
      <c r="BK36" s="285"/>
      <c r="BL36" s="285"/>
      <c r="BM36" s="285"/>
      <c r="BN36" s="285"/>
      <c r="BO36" s="285"/>
      <c r="BP36" s="285"/>
      <c r="BQ36" s="285"/>
      <c r="BR36" s="285"/>
      <c r="BS36" s="285"/>
      <c r="BT36" s="285"/>
      <c r="BU36" s="285"/>
      <c r="BV36" s="285"/>
      <c r="BW36" s="285"/>
      <c r="BX36" s="285"/>
      <c r="BY36" s="285"/>
      <c r="BZ36" s="285"/>
      <c r="CA36" s="285"/>
      <c r="CB36" s="285"/>
      <c r="CC36" s="285"/>
      <c r="CD36" s="285"/>
      <c r="CE36" s="285"/>
      <c r="CF36" s="285"/>
      <c r="CG36" s="285"/>
      <c r="CH36" s="285"/>
      <c r="CI36" s="285"/>
      <c r="CJ36" s="285"/>
      <c r="CK36" s="285"/>
      <c r="CL36" s="285"/>
      <c r="CM36" s="285"/>
      <c r="CN36" s="285"/>
      <c r="CO36" s="285"/>
      <c r="CP36" s="285"/>
      <c r="CQ36" s="285"/>
      <c r="CR36" s="285"/>
      <c r="CS36" s="285"/>
      <c r="CT36" s="285"/>
      <c r="CU36" s="285"/>
      <c r="CV36" s="285"/>
      <c r="CW36" s="285"/>
      <c r="CX36" s="285"/>
      <c r="CY36" s="285"/>
      <c r="CZ36" s="285"/>
      <c r="DA36" s="285"/>
      <c r="DB36" s="285"/>
      <c r="DC36" s="285"/>
      <c r="DD36" s="285"/>
      <c r="DE36" s="285"/>
      <c r="DF36" s="285"/>
      <c r="DG36" s="285"/>
      <c r="DH36" s="285"/>
      <c r="DI36" s="285"/>
      <c r="DJ36" s="285"/>
      <c r="DK36" s="285"/>
      <c r="DL36" s="285"/>
      <c r="DM36" s="285"/>
      <c r="DN36" s="285"/>
      <c r="DO36" s="285"/>
      <c r="DP36" s="285"/>
      <c r="DQ36" s="285"/>
      <c r="DR36" s="285"/>
      <c r="DS36" s="285"/>
      <c r="DT36" s="285"/>
      <c r="DU36" s="285"/>
      <c r="DV36" s="285"/>
      <c r="DW36" s="285"/>
      <c r="DX36" s="285"/>
      <c r="DY36" s="285"/>
      <c r="DZ36" s="285"/>
      <c r="EA36" s="285"/>
      <c r="EB36" s="285"/>
      <c r="EC36" s="285"/>
      <c r="ED36" s="285"/>
      <c r="EE36" s="285"/>
      <c r="EF36" s="285"/>
      <c r="EG36" s="285"/>
      <c r="EH36" s="285"/>
      <c r="EI36" s="285"/>
      <c r="EJ36" s="285"/>
      <c r="EK36" s="285"/>
      <c r="EL36" s="285"/>
      <c r="EM36" s="285"/>
      <c r="EN36" s="285"/>
      <c r="EO36" s="285"/>
      <c r="EP36" s="285"/>
      <c r="EQ36" s="285"/>
    </row>
    <row r="37" spans="2:147" ht="48.6">
      <c r="B37" s="408" t="s">
        <v>165</v>
      </c>
      <c r="C37" s="408" t="s">
        <v>21</v>
      </c>
      <c r="D37" s="408" t="s">
        <v>139</v>
      </c>
      <c r="E37" s="408" t="s">
        <v>140</v>
      </c>
      <c r="F37" s="408" t="s">
        <v>141</v>
      </c>
      <c r="G37" s="412" t="s">
        <v>184</v>
      </c>
      <c r="H37" s="413"/>
      <c r="I37" s="448" t="s">
        <v>185</v>
      </c>
      <c r="J37" s="449" t="s">
        <v>93</v>
      </c>
    </row>
    <row r="38" spans="2:147" ht="21">
      <c r="B38" s="456">
        <v>1</v>
      </c>
      <c r="C38" s="457" t="s">
        <v>186</v>
      </c>
      <c r="D38" s="457" t="s">
        <v>187</v>
      </c>
      <c r="E38" s="457" t="s">
        <v>187</v>
      </c>
      <c r="F38" s="458" t="s">
        <v>188</v>
      </c>
      <c r="G38" s="457" t="s">
        <v>189</v>
      </c>
      <c r="H38" s="414"/>
      <c r="I38" s="450">
        <v>1</v>
      </c>
      <c r="J38" s="451" t="s">
        <v>190</v>
      </c>
    </row>
    <row r="39" spans="2:147" ht="42">
      <c r="B39" s="459">
        <v>2</v>
      </c>
      <c r="C39" s="460" t="s">
        <v>191</v>
      </c>
      <c r="D39" s="460" t="s">
        <v>192</v>
      </c>
      <c r="E39" s="460" t="s">
        <v>193</v>
      </c>
      <c r="F39" s="461" t="s">
        <v>194</v>
      </c>
      <c r="G39" s="460" t="s">
        <v>195</v>
      </c>
      <c r="H39" s="415"/>
      <c r="I39" s="452">
        <v>2</v>
      </c>
      <c r="J39" s="451" t="s">
        <v>196</v>
      </c>
    </row>
    <row r="40" spans="2:147" ht="42">
      <c r="B40" s="459">
        <v>3</v>
      </c>
      <c r="C40" s="460" t="s">
        <v>197</v>
      </c>
      <c r="D40" s="460" t="s">
        <v>16</v>
      </c>
      <c r="E40" s="460" t="s">
        <v>19</v>
      </c>
      <c r="F40" s="461" t="s">
        <v>198</v>
      </c>
      <c r="G40" s="460" t="s">
        <v>199</v>
      </c>
      <c r="H40" s="415"/>
      <c r="I40" s="452">
        <v>3</v>
      </c>
      <c r="J40" s="451" t="s">
        <v>25</v>
      </c>
    </row>
    <row r="41" spans="2:147" ht="21">
      <c r="I41" s="450">
        <v>4</v>
      </c>
      <c r="J41" s="451" t="s">
        <v>20</v>
      </c>
    </row>
    <row r="42" spans="2:147" ht="21">
      <c r="I42" s="452">
        <v>5</v>
      </c>
      <c r="J42" s="451" t="s">
        <v>17</v>
      </c>
    </row>
    <row r="43" spans="2:147" ht="21">
      <c r="E43" s="533" t="s">
        <v>200</v>
      </c>
      <c r="F43" s="534"/>
      <c r="G43" s="534"/>
    </row>
    <row r="55" spans="5:7" ht="21">
      <c r="E55" s="533" t="s">
        <v>201</v>
      </c>
      <c r="F55" s="534"/>
      <c r="G55" s="534"/>
    </row>
    <row r="65" spans="1:11">
      <c r="A65" s="305"/>
      <c r="B65" s="305"/>
      <c r="C65" s="305"/>
      <c r="D65" s="305"/>
      <c r="E65" s="305"/>
      <c r="F65" s="305"/>
      <c r="G65" s="305"/>
      <c r="H65" s="305"/>
      <c r="I65" s="305"/>
      <c r="J65" s="305"/>
      <c r="K65" s="305"/>
    </row>
    <row r="66" spans="1:11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</row>
    <row r="67" spans="1:11" ht="23.45">
      <c r="B67" s="531" t="s">
        <v>202</v>
      </c>
      <c r="C67" s="531"/>
      <c r="D67" s="531"/>
      <c r="E67" s="531"/>
      <c r="F67" s="531"/>
      <c r="G67" s="531"/>
      <c r="H67" s="531"/>
      <c r="I67" s="531"/>
      <c r="J67" s="531"/>
    </row>
    <row r="68" spans="1:11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</row>
    <row r="69" spans="1:11">
      <c r="A69" s="56"/>
      <c r="B69" s="56"/>
      <c r="C69" s="56"/>
      <c r="D69" s="56"/>
      <c r="F69" s="56"/>
      <c r="G69" s="56"/>
      <c r="H69" s="56"/>
      <c r="I69" s="56"/>
      <c r="J69" s="56"/>
      <c r="K69" s="56"/>
    </row>
    <row r="70" spans="1:11" ht="84" customHeight="1">
      <c r="A70" s="56"/>
      <c r="B70" s="56"/>
      <c r="C70" s="522" t="s">
        <v>203</v>
      </c>
      <c r="D70" s="522"/>
      <c r="E70" s="56"/>
      <c r="F70" s="56"/>
      <c r="G70" s="56"/>
      <c r="H70" s="56"/>
      <c r="I70" s="56"/>
      <c r="J70" s="56"/>
      <c r="K70" s="56"/>
    </row>
    <row r="71" spans="1:11" ht="14.1" customHeight="1">
      <c r="A71" s="56"/>
      <c r="B71" s="56"/>
      <c r="C71" s="522"/>
      <c r="D71" s="522"/>
      <c r="E71" s="56"/>
      <c r="F71" s="56"/>
      <c r="G71" s="56"/>
      <c r="H71" s="56"/>
      <c r="I71" s="56"/>
      <c r="J71" s="56"/>
      <c r="K71" s="56"/>
    </row>
    <row r="72" spans="1:11" ht="14.1" customHeight="1">
      <c r="A72" s="56"/>
      <c r="B72" s="56"/>
      <c r="C72" s="522"/>
      <c r="D72" s="522"/>
      <c r="E72" s="56"/>
      <c r="F72" s="56"/>
      <c r="G72" s="56"/>
      <c r="H72" s="56"/>
      <c r="I72" s="56"/>
      <c r="J72" s="56"/>
      <c r="K72" s="56"/>
    </row>
    <row r="73" spans="1:11">
      <c r="A73" s="56"/>
      <c r="B73" s="56"/>
      <c r="C73" s="522"/>
      <c r="D73" s="522"/>
      <c r="E73" s="56"/>
      <c r="F73" s="56"/>
      <c r="G73" s="56"/>
      <c r="H73" s="56"/>
      <c r="I73" s="56"/>
      <c r="J73" s="56"/>
      <c r="K73" s="56"/>
    </row>
    <row r="74" spans="1:11">
      <c r="A74" s="56"/>
      <c r="B74" s="56"/>
      <c r="C74" s="522"/>
      <c r="D74" s="522"/>
      <c r="E74" s="56"/>
      <c r="F74" s="56"/>
      <c r="G74" s="56"/>
      <c r="H74" s="56"/>
      <c r="I74" s="56"/>
      <c r="J74" s="56"/>
      <c r="K74" s="56"/>
    </row>
    <row r="75" spans="1:11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</row>
    <row r="76" spans="1:11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</row>
    <row r="77" spans="1:11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</row>
    <row r="78" spans="1:11" ht="18.95" customHeight="1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</row>
    <row r="79" spans="1:11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</row>
    <row r="80" spans="1:11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</row>
    <row r="81" spans="1:11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</row>
    <row r="82" spans="1:11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</row>
    <row r="83" spans="1:11" ht="18.95" customHeight="1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</row>
    <row r="84" spans="1:11">
      <c r="A84" s="285"/>
      <c r="B84" s="285"/>
      <c r="C84" s="285"/>
      <c r="D84" s="285"/>
      <c r="E84" s="285"/>
      <c r="F84" s="285"/>
      <c r="G84" s="285"/>
      <c r="H84" s="285"/>
      <c r="I84" s="285"/>
      <c r="J84" s="285"/>
      <c r="K84" s="285"/>
    </row>
    <row r="85" spans="1:11">
      <c r="A85" s="285"/>
      <c r="B85" s="285"/>
      <c r="C85" s="285"/>
      <c r="D85" s="285"/>
      <c r="E85" s="285"/>
      <c r="F85" s="285"/>
      <c r="G85" s="285"/>
      <c r="H85" s="285"/>
      <c r="I85" s="285"/>
      <c r="J85" s="285"/>
      <c r="K85" s="285"/>
    </row>
    <row r="86" spans="1:11">
      <c r="A86" s="285"/>
      <c r="B86" s="285"/>
      <c r="C86" s="285"/>
      <c r="D86" s="285"/>
      <c r="E86" s="285"/>
      <c r="F86" s="285"/>
      <c r="G86" s="285"/>
      <c r="H86" s="285"/>
      <c r="I86" s="285"/>
      <c r="J86" s="285"/>
      <c r="K86" s="285"/>
    </row>
    <row r="87" spans="1:11">
      <c r="A87" s="285"/>
      <c r="B87" s="285"/>
      <c r="C87" s="285"/>
      <c r="D87" s="285"/>
      <c r="E87" s="285"/>
      <c r="F87" s="285"/>
      <c r="G87" s="285"/>
      <c r="H87" s="285"/>
      <c r="I87" s="285"/>
      <c r="J87" s="285"/>
      <c r="K87" s="285"/>
    </row>
    <row r="88" spans="1:11" ht="18.95" customHeight="1">
      <c r="A88" s="285"/>
      <c r="B88" s="285"/>
      <c r="C88" s="285"/>
      <c r="D88" s="285"/>
      <c r="E88" s="285"/>
      <c r="F88" s="285"/>
      <c r="G88" s="285"/>
      <c r="H88" s="285"/>
      <c r="I88" s="285"/>
      <c r="J88" s="285"/>
      <c r="K88" s="285"/>
    </row>
    <row r="89" spans="1:11">
      <c r="A89" s="285"/>
      <c r="B89" s="285"/>
      <c r="C89" s="285"/>
      <c r="D89" s="285"/>
      <c r="E89" s="285"/>
      <c r="F89" s="285"/>
      <c r="G89" s="285"/>
      <c r="H89" s="285"/>
      <c r="I89" s="285"/>
      <c r="J89" s="285"/>
      <c r="K89" s="285"/>
    </row>
    <row r="90" spans="1:11">
      <c r="A90" s="285"/>
      <c r="B90" s="285"/>
      <c r="C90" s="285"/>
      <c r="D90" s="419"/>
      <c r="E90" s="285"/>
      <c r="F90" s="285"/>
      <c r="G90" s="285"/>
      <c r="H90" s="285"/>
      <c r="I90" s="285"/>
      <c r="J90" s="285"/>
      <c r="K90" s="285"/>
    </row>
    <row r="91" spans="1:11">
      <c r="A91" s="285"/>
      <c r="B91" s="285"/>
      <c r="C91" s="285"/>
      <c r="D91" s="419"/>
      <c r="E91" s="285"/>
      <c r="F91" s="285"/>
      <c r="G91" s="285"/>
      <c r="H91" s="285"/>
      <c r="I91" s="285"/>
      <c r="J91" s="285"/>
      <c r="K91" s="285"/>
    </row>
    <row r="92" spans="1:11">
      <c r="A92" s="285"/>
      <c r="B92" s="285"/>
      <c r="C92" s="285"/>
      <c r="D92" s="419"/>
      <c r="E92" s="285"/>
      <c r="F92" s="285"/>
      <c r="G92" s="285"/>
      <c r="H92" s="285"/>
      <c r="I92" s="285"/>
      <c r="J92" s="285"/>
      <c r="K92" s="285"/>
    </row>
    <row r="93" spans="1:11">
      <c r="A93" s="285"/>
      <c r="B93" s="285"/>
      <c r="C93" s="285"/>
      <c r="D93" s="419"/>
      <c r="E93" s="285"/>
      <c r="F93" s="285"/>
      <c r="G93" s="285"/>
      <c r="H93" s="285"/>
      <c r="I93" s="285"/>
      <c r="J93" s="285"/>
      <c r="K93" s="285"/>
    </row>
    <row r="94" spans="1:11">
      <c r="A94" s="285"/>
      <c r="B94" s="285"/>
      <c r="C94" s="285"/>
      <c r="D94" s="419"/>
      <c r="E94" s="285"/>
      <c r="F94" s="285"/>
      <c r="G94" s="285"/>
      <c r="H94" s="285"/>
      <c r="I94" s="285"/>
      <c r="J94" s="285"/>
      <c r="K94" s="285"/>
    </row>
    <row r="95" spans="1:11">
      <c r="A95" s="285"/>
      <c r="B95" s="285"/>
      <c r="C95" s="285"/>
      <c r="D95" s="285"/>
      <c r="E95" s="285"/>
      <c r="F95" s="285"/>
      <c r="G95" s="285"/>
      <c r="H95" s="285"/>
      <c r="I95" s="285"/>
      <c r="J95" s="285"/>
      <c r="K95" s="285"/>
    </row>
    <row r="96" spans="1:11">
      <c r="A96" s="285"/>
      <c r="B96" s="285"/>
      <c r="C96" s="285"/>
      <c r="D96" s="419"/>
      <c r="E96" s="285"/>
      <c r="F96" s="285"/>
      <c r="G96" s="285"/>
      <c r="H96" s="285"/>
      <c r="I96" s="285"/>
      <c r="J96" s="285"/>
      <c r="K96" s="285"/>
    </row>
    <row r="97" spans="1:11">
      <c r="A97" s="285"/>
      <c r="B97" s="285"/>
      <c r="C97" s="285"/>
      <c r="D97" s="419"/>
      <c r="E97" s="285"/>
      <c r="F97" s="285"/>
      <c r="G97" s="285"/>
      <c r="H97" s="285"/>
      <c r="I97" s="285"/>
      <c r="J97" s="285"/>
      <c r="K97" s="285"/>
    </row>
    <row r="98" spans="1:11">
      <c r="A98" s="285"/>
      <c r="B98" s="285"/>
      <c r="C98" s="285"/>
      <c r="D98" s="419"/>
      <c r="E98" s="285"/>
      <c r="F98" s="285"/>
      <c r="G98" s="285"/>
      <c r="H98" s="285"/>
      <c r="I98" s="285"/>
      <c r="J98" s="285"/>
      <c r="K98" s="285"/>
    </row>
    <row r="99" spans="1:11">
      <c r="A99" s="285"/>
      <c r="B99" s="285"/>
      <c r="C99" s="285"/>
      <c r="D99" s="419"/>
      <c r="E99" s="285"/>
      <c r="F99" s="285"/>
      <c r="G99" s="285"/>
      <c r="H99" s="285"/>
      <c r="I99" s="285"/>
      <c r="J99" s="285"/>
      <c r="K99" s="285"/>
    </row>
    <row r="100" spans="1:11">
      <c r="A100" s="285"/>
      <c r="B100" s="285"/>
      <c r="C100" s="285"/>
      <c r="D100" s="419"/>
      <c r="E100" s="285"/>
      <c r="F100" s="285"/>
      <c r="G100" s="285"/>
      <c r="H100" s="285"/>
      <c r="I100" s="285"/>
      <c r="J100" s="285"/>
      <c r="K100" s="285"/>
    </row>
    <row r="101" spans="1:11">
      <c r="A101" s="285"/>
      <c r="B101" s="285"/>
      <c r="C101" s="285"/>
      <c r="D101" s="419"/>
      <c r="E101" s="285"/>
      <c r="F101" s="285"/>
      <c r="G101" s="285"/>
      <c r="H101" s="285"/>
      <c r="I101" s="285"/>
      <c r="J101" s="285"/>
      <c r="K101" s="285"/>
    </row>
    <row r="102" spans="1:11">
      <c r="A102" s="285"/>
      <c r="B102" s="285"/>
      <c r="C102" s="285"/>
      <c r="D102" s="419"/>
      <c r="E102" s="285"/>
      <c r="F102" s="285"/>
      <c r="G102" s="285"/>
      <c r="H102" s="285"/>
      <c r="I102" s="285"/>
      <c r="J102" s="285"/>
      <c r="K102" s="285"/>
    </row>
    <row r="103" spans="1:11">
      <c r="A103" s="285"/>
      <c r="B103" s="285"/>
      <c r="C103" s="285"/>
      <c r="D103" s="419"/>
      <c r="E103" s="285"/>
      <c r="F103" s="285"/>
      <c r="G103" s="285"/>
      <c r="H103" s="285"/>
      <c r="I103" s="285"/>
      <c r="J103" s="285"/>
      <c r="K103" s="285"/>
    </row>
    <row r="104" spans="1:11">
      <c r="A104" s="285"/>
      <c r="B104" s="285"/>
      <c r="C104" s="285"/>
      <c r="D104" s="419"/>
      <c r="E104" s="285"/>
      <c r="F104" s="285"/>
      <c r="G104" s="285"/>
      <c r="H104" s="285"/>
      <c r="I104" s="285"/>
      <c r="J104" s="285"/>
      <c r="K104" s="285"/>
    </row>
    <row r="105" spans="1:11">
      <c r="A105" s="285"/>
      <c r="B105" s="285"/>
      <c r="C105" s="285"/>
      <c r="D105" s="419"/>
      <c r="E105" s="285"/>
      <c r="F105" s="285"/>
      <c r="G105" s="285"/>
      <c r="H105" s="285"/>
      <c r="I105" s="285"/>
      <c r="J105" s="285"/>
      <c r="K105" s="285"/>
    </row>
  </sheetData>
  <sheetProtection sheet="1" objects="1" scenarios="1"/>
  <mergeCells count="14">
    <mergeCell ref="C70:D74"/>
    <mergeCell ref="B1:I1"/>
    <mergeCell ref="B2:I2"/>
    <mergeCell ref="B36:G36"/>
    <mergeCell ref="I36:J36"/>
    <mergeCell ref="B35:G35"/>
    <mergeCell ref="B67:J67"/>
    <mergeCell ref="B6:C6"/>
    <mergeCell ref="B4:C4"/>
    <mergeCell ref="B5:C5"/>
    <mergeCell ref="B34:J34"/>
    <mergeCell ref="B10:E10"/>
    <mergeCell ref="E43:G43"/>
    <mergeCell ref="E55:G5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02B80-A834-4664-82B6-A0D90EF45311}">
  <dimension ref="A1:W125"/>
  <sheetViews>
    <sheetView showGridLines="0" topLeftCell="A63" zoomScale="57" zoomScaleNormal="57" workbookViewId="0">
      <selection activeCell="D62" sqref="D62"/>
    </sheetView>
  </sheetViews>
  <sheetFormatPr defaultRowHeight="14.1"/>
  <cols>
    <col min="1" max="1" width="10.125" customWidth="1"/>
    <col min="2" max="2" width="69.875" customWidth="1"/>
    <col min="3" max="3" width="47" customWidth="1"/>
    <col min="4" max="4" width="29.75" customWidth="1"/>
    <col min="5" max="5" width="50.625" customWidth="1"/>
    <col min="6" max="6" width="31.375" style="56" customWidth="1"/>
    <col min="7" max="7" width="15.875" customWidth="1"/>
    <col min="8" max="8" width="15.625" customWidth="1"/>
  </cols>
  <sheetData>
    <row r="1" spans="1:23" ht="30">
      <c r="A1" s="550" t="s">
        <v>204</v>
      </c>
      <c r="B1" s="550"/>
      <c r="C1" s="550"/>
      <c r="D1" s="551"/>
    </row>
    <row r="2" spans="1:23" ht="43.5" customHeight="1">
      <c r="B2" s="556" t="s">
        <v>205</v>
      </c>
      <c r="C2" s="556"/>
      <c r="D2" s="556"/>
    </row>
    <row r="3" spans="1:23"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285"/>
      <c r="U3" s="285"/>
      <c r="V3" s="285"/>
      <c r="W3" s="285"/>
    </row>
    <row r="4" spans="1:23">
      <c r="I4" s="285"/>
      <c r="J4" s="285"/>
      <c r="K4" s="285"/>
      <c r="L4" s="285"/>
      <c r="M4" s="285"/>
      <c r="N4" s="285"/>
      <c r="O4" s="285"/>
      <c r="P4" s="285"/>
      <c r="Q4" s="285"/>
      <c r="R4" s="285"/>
      <c r="S4" s="285"/>
      <c r="T4" s="285"/>
      <c r="U4" s="285"/>
      <c r="V4" s="285"/>
      <c r="W4" s="285"/>
    </row>
    <row r="5" spans="1:23" ht="29.45" customHeight="1">
      <c r="B5" s="228" t="s">
        <v>206</v>
      </c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  <c r="W5" s="285"/>
    </row>
    <row r="6" spans="1:23" ht="27">
      <c r="A6" s="365"/>
      <c r="B6" s="365" t="s">
        <v>121</v>
      </c>
      <c r="I6" s="285"/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  <c r="V6" s="285"/>
      <c r="W6" s="285"/>
    </row>
    <row r="7" spans="1:23" ht="90.6" customHeight="1">
      <c r="A7" s="46"/>
      <c r="B7" s="545" t="s">
        <v>207</v>
      </c>
      <c r="C7" s="545"/>
      <c r="D7" s="545"/>
      <c r="E7" s="546"/>
      <c r="F7" s="546"/>
      <c r="G7" s="541"/>
      <c r="H7" s="541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</row>
    <row r="8" spans="1:23" ht="38.450000000000003" customHeight="1">
      <c r="A8" s="309"/>
      <c r="B8" s="367" t="s">
        <v>123</v>
      </c>
      <c r="C8" s="368" t="s">
        <v>208</v>
      </c>
      <c r="D8" s="369" t="s">
        <v>209</v>
      </c>
      <c r="E8" s="366"/>
      <c r="F8" s="366"/>
      <c r="G8" s="301"/>
      <c r="H8" s="301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</row>
    <row r="9" spans="1:23" ht="38.450000000000003" customHeight="1">
      <c r="A9" s="370"/>
      <c r="B9" s="371" t="s">
        <v>126</v>
      </c>
      <c r="C9" s="169" cm="1">
        <f t="array" ref="C9:C13">'Assessment Tools'!D17:D21</f>
        <v>0</v>
      </c>
      <c r="D9" s="372">
        <f>IF(TRIM(C9)="","0",IF(TRIM(C9)="ใช่",5,IF(TRIM(C9)="0",0,1)))</f>
        <v>0</v>
      </c>
      <c r="E9" s="471" t="s">
        <v>210</v>
      </c>
      <c r="F9" s="368" t="s">
        <v>208</v>
      </c>
      <c r="G9" s="369" t="s">
        <v>209</v>
      </c>
      <c r="H9" s="303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</row>
    <row r="10" spans="1:23" ht="38.450000000000003" customHeight="1">
      <c r="A10" s="370"/>
      <c r="B10" s="373" t="s">
        <v>211</v>
      </c>
      <c r="C10" s="169">
        <v>0</v>
      </c>
      <c r="D10" s="372">
        <f>IF(TRIM(C10)="","0",IF(TRIM(C10)="ใช่",5,IF(TRIM(C10)="0",0,1)))</f>
        <v>0</v>
      </c>
      <c r="E10" s="373" t="s">
        <v>212</v>
      </c>
      <c r="F10" s="472">
        <f>'Assessment Tools'!F18</f>
        <v>0</v>
      </c>
      <c r="G10" s="372">
        <f>IF(TRIM(F10)="","0",IF(TRIM(F10)="ใช่",5,IF(TRIM(F10)="0",0,1)))</f>
        <v>0</v>
      </c>
      <c r="H10" s="29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</row>
    <row r="11" spans="1:23" ht="38.450000000000003" customHeight="1">
      <c r="A11" s="370"/>
      <c r="B11" s="373" t="s">
        <v>213</v>
      </c>
      <c r="C11" s="169">
        <v>0</v>
      </c>
      <c r="D11" s="372">
        <f>IF(TRIM(C11)="","0",IF(TRIM(C11)="ใช่",2,IF(TRIM(C11)="0",0,1)))</f>
        <v>0</v>
      </c>
      <c r="E11" s="473"/>
      <c r="F11" s="475"/>
      <c r="G11" s="323"/>
      <c r="H11" s="270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</row>
    <row r="12" spans="1:23" ht="44.1" customHeight="1">
      <c r="A12" s="370"/>
      <c r="B12" s="371" t="s">
        <v>214</v>
      </c>
      <c r="C12" s="169">
        <v>0</v>
      </c>
      <c r="D12" s="372">
        <f>IF(TRIM(C12)="","0",IF(TRIM(C12)="ใช่",2,IF(TRIM(C12)="0",0,1)))</f>
        <v>0</v>
      </c>
      <c r="E12" s="302"/>
      <c r="F12" s="374"/>
      <c r="G12" s="302"/>
      <c r="H12" s="303"/>
      <c r="I12" s="285"/>
      <c r="J12" s="285"/>
      <c r="K12" s="285"/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</row>
    <row r="13" spans="1:23" ht="40.5" customHeight="1">
      <c r="A13" s="370"/>
      <c r="B13" s="373" t="s">
        <v>215</v>
      </c>
      <c r="C13" s="169">
        <v>0</v>
      </c>
      <c r="D13" s="372">
        <f>IF(TRIM(C13)="","0",IF(TRIM(C13)="ใช่",2,IF(TRIM(C13)="0",0,1)))</f>
        <v>0</v>
      </c>
      <c r="E13" s="295"/>
      <c r="F13" s="375"/>
      <c r="G13" s="295"/>
      <c r="H13" s="29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</row>
    <row r="14" spans="1:23" ht="38.450000000000003" customHeight="1">
      <c r="A14" s="370"/>
      <c r="B14" s="373" t="s">
        <v>216</v>
      </c>
      <c r="C14" s="169">
        <f>'Assessment Tools'!D22</f>
        <v>0</v>
      </c>
      <c r="D14" s="372">
        <f>IF(TRIM(C14)="","0",IF(TRIM(C14)="ใช่",2,IF(TRIM(C14)="0",0,1)))</f>
        <v>0</v>
      </c>
      <c r="E14" s="376"/>
      <c r="F14" s="375"/>
      <c r="G14" s="302"/>
      <c r="H14" s="303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</row>
    <row r="15" spans="1:23" s="56" customFormat="1" ht="38.450000000000003" customHeight="1">
      <c r="A15" s="377"/>
      <c r="B15" s="442" t="s">
        <v>144</v>
      </c>
      <c r="C15" s="474" t="str" cm="1">
        <f t="array" ref="C15">_xlfn.IFS(
    VALUE(D9)=5, "ข้อมูลความมั่นคง",
    AND(VALUE(D9)=1, VALUE(D10)=5, VALUE(G10)=5), "ข้อมูลความมั่นคง",
    AND(VALUE(D9)=1, VALUE(D10)=5, VALUE(G10)=1), "ข้อมูลความลับทางราชการ",
    AND(VALUE(D9)=1, VALUE(D10)=1, VALUE(D11)=2), "ข้อมูลความลับทางราชการ",
    AND(VALUE(D9)=1, VALUE(D10)=1, VALUE(D11)=1, VALUE(D12)=2), "ข้อมูลส่วนบุคคล",
    AND(VALUE(D9)=1, VALUE(D10)=1, VALUE(D11)=1, VALUE(D12)=1, VALUE(D13)=2), "ข้อมูลใช้ภายในองค์กร",
    AND(VALUE(D9)=1, VALUE(D10)=1, VALUE(D11)=1, VALUE(D12)=1, VALUE(D13)=1, VALUE(D14)=2), "ข้อมูลใช้ภายในองค์กร",
    AND(VALUE(D9)=1, VALUE(D10)=1, VALUE(D11)=1, VALUE(D12)=1, VALUE(D13)=1, VALUE(D14)=1), "ข้อมูลสาธารณะ",
    TRUE, ""
)</f>
        <v/>
      </c>
      <c r="D15" s="270"/>
      <c r="E15" s="266"/>
      <c r="F15" s="378"/>
      <c r="G15" s="270"/>
      <c r="H15" s="270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</row>
    <row r="16" spans="1:23" s="56" customFormat="1" ht="38.450000000000003" hidden="1" customHeight="1">
      <c r="A16" s="377"/>
      <c r="B16" s="322"/>
      <c r="C16" s="323"/>
      <c r="D16" s="270"/>
      <c r="E16" s="270"/>
      <c r="F16" s="378"/>
      <c r="G16" s="270"/>
      <c r="H16" s="270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</row>
    <row r="17" spans="1:23" hidden="1">
      <c r="A17" s="46"/>
      <c r="I17" s="285"/>
      <c r="J17" s="285"/>
      <c r="K17" s="285"/>
      <c r="L17" s="285"/>
      <c r="M17" s="285"/>
      <c r="N17" s="285"/>
      <c r="O17" s="285"/>
      <c r="P17" s="285"/>
      <c r="Q17" s="285"/>
      <c r="R17" s="285"/>
      <c r="S17" s="285"/>
      <c r="T17" s="285"/>
      <c r="U17" s="285"/>
      <c r="V17" s="285"/>
      <c r="W17" s="285"/>
    </row>
    <row r="18" spans="1:23" hidden="1">
      <c r="A18" s="46"/>
      <c r="I18" s="285"/>
      <c r="J18" s="285"/>
      <c r="K18" s="285"/>
      <c r="L18" s="285"/>
      <c r="M18" s="285"/>
      <c r="N18" s="285"/>
      <c r="O18" s="285"/>
      <c r="P18" s="285"/>
      <c r="Q18" s="285"/>
      <c r="R18" s="285"/>
      <c r="S18" s="285"/>
      <c r="T18" s="285"/>
      <c r="U18" s="285"/>
      <c r="V18" s="285"/>
      <c r="W18" s="285"/>
    </row>
    <row r="19" spans="1:23">
      <c r="A19" s="46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85"/>
    </row>
    <row r="20" spans="1:23" s="56" customFormat="1" ht="39" customHeight="1">
      <c r="A20" s="46"/>
      <c r="E20" s="265"/>
      <c r="F20" s="379"/>
      <c r="G20" s="266"/>
      <c r="H20" s="266"/>
      <c r="I20" s="285"/>
      <c r="J20" s="285"/>
      <c r="K20" s="285"/>
      <c r="L20" s="285"/>
      <c r="M20" s="285"/>
      <c r="N20" s="285"/>
      <c r="O20" s="285"/>
      <c r="P20" s="285"/>
      <c r="Q20" s="285"/>
      <c r="R20" s="285"/>
      <c r="S20" s="285"/>
      <c r="T20" s="285"/>
      <c r="U20" s="285"/>
      <c r="V20" s="285"/>
      <c r="W20" s="285"/>
    </row>
    <row r="21" spans="1:23" ht="33.6" customHeight="1">
      <c r="A21" s="46"/>
      <c r="I21" s="285"/>
      <c r="J21" s="285"/>
      <c r="K21" s="285"/>
      <c r="L21" s="285"/>
      <c r="M21" s="285"/>
      <c r="N21" s="285"/>
      <c r="O21" s="285"/>
      <c r="P21" s="285"/>
      <c r="Q21" s="285"/>
      <c r="R21" s="285"/>
      <c r="S21" s="285"/>
      <c r="T21" s="285"/>
      <c r="U21" s="285"/>
      <c r="V21" s="285"/>
      <c r="W21" s="285"/>
    </row>
    <row r="22" spans="1:23" ht="31.5" customHeight="1">
      <c r="A22" s="46"/>
      <c r="B22" s="549" t="str">
        <f>IF(
    OR(
        IFERROR(SEARCH("ประเมิน", B24)&gt;0, FALSE),
        IFERROR(SEARCH("ข้อมูล", B24)&gt;0, FALSE)
    ),
    "สรุปผลในส่วนที่ 1:",
    ""
)</f>
        <v/>
      </c>
      <c r="C22" s="549"/>
      <c r="D22" s="549"/>
      <c r="E22" s="380"/>
      <c r="F22"/>
      <c r="I22" s="285"/>
      <c r="J22" s="285"/>
      <c r="K22" s="285"/>
      <c r="L22" s="285"/>
      <c r="M22" s="285"/>
      <c r="N22" s="285"/>
      <c r="O22" s="285"/>
      <c r="P22" s="285"/>
      <c r="Q22" s="285"/>
      <c r="R22" s="285"/>
      <c r="S22" s="285"/>
      <c r="T22" s="285"/>
      <c r="U22" s="285"/>
      <c r="V22" s="285"/>
      <c r="W22" s="285"/>
    </row>
    <row r="23" spans="1:23" ht="31.5" customHeight="1">
      <c r="A23" s="46"/>
      <c r="B23" s="548" t="str">
        <f>IF(
LEN(TRIM(B24))=0,
"",
IF(
OR(
ISNUMBER(SEARCH("เปิดเผย",B24)),
ISNUMBER(SEARCH("มั่นคง",B24))
),
"จบการทำแบบประเมิน",
IF(
ISNUMBER(SEARCH("ประเมิน",B24)),
HYPERLINK("#'Calculation Sheet'!B40","คลิกที่นี่ เพื่อประเมินในส่วนที่ 2"),
""
)
))</f>
        <v/>
      </c>
      <c r="C23" s="548"/>
      <c r="D23" s="548"/>
      <c r="E23" s="380"/>
      <c r="F23"/>
      <c r="I23" s="285"/>
      <c r="J23" s="285"/>
      <c r="K23" s="285"/>
      <c r="L23" s="285"/>
      <c r="M23" s="285"/>
      <c r="N23" s="285"/>
      <c r="O23" s="285"/>
      <c r="P23" s="285"/>
      <c r="Q23" s="285"/>
      <c r="R23" s="285"/>
      <c r="S23" s="285"/>
      <c r="T23" s="285"/>
      <c r="U23" s="285"/>
      <c r="V23" s="285"/>
      <c r="W23" s="285"/>
    </row>
    <row r="24" spans="1:23" ht="50.45" customHeight="1">
      <c r="A24" s="46"/>
      <c r="B24" s="547" t="str">
        <f>IF(
LEN(TRIM(C15))=0,
"",
IF(
ISNUMBER(SEARCH("สาธารณะ",C15)),
"เป็นข้อมูลที่สามารถเปิดเผยได้",
IF(
OR(
ISNUMBER(SEARCH("มั่นคง",C15)),
ISNUMBER(SEARCH("มั่งคง",C15))),
"เป็นข้อมูลส่งผลกระทบด้านความมั่นคงของรัฐและความสงบเรียบร้อยของประชาชนให้ใช้ประกาศของ กมช.  ประกอบการพิจารณาเลือกใช้คลาวด์ โดยให้เป็นดุลพินิจของหัวหน้าหน่วยงาน",
"ควรมีการประเมินความเสี่ยงเพิ่มเติม"
)
))</f>
        <v/>
      </c>
      <c r="C24" s="547"/>
      <c r="D24" s="547"/>
      <c r="E24" s="381"/>
      <c r="F24" s="382"/>
      <c r="I24" s="285"/>
      <c r="J24" s="285"/>
      <c r="K24" s="285"/>
      <c r="L24" s="285"/>
      <c r="M24" s="285"/>
      <c r="N24" s="285"/>
      <c r="O24" s="285"/>
      <c r="P24" s="285"/>
      <c r="Q24" s="285"/>
      <c r="R24" s="285"/>
      <c r="S24" s="285"/>
      <c r="T24" s="285"/>
      <c r="U24" s="285"/>
      <c r="V24" s="285"/>
      <c r="W24" s="285"/>
    </row>
    <row r="25" spans="1:23" ht="42" customHeight="1">
      <c r="A25" s="46"/>
      <c r="B25" s="344" t="str">
        <f>IF(
LEN(TRIM(C15))=0,
"",
IF(
OR(
ISNUMBER(SEARCH("สาธารณะ",C15)),
ISNUMBER(SEARCH("มั่นคง",C15)),
ISNUMBER(SEARCH("มั่งคง",C15))
),
"หมวดหมู่ข้อมูล",
""
))</f>
        <v/>
      </c>
      <c r="C25" s="328" t="str">
        <f>IF(ISNUMBER(SEARCH("หมวดหมู่ข้อมูล",B25)),"การจัดระดับชั้นข้อมูล","")</f>
        <v/>
      </c>
      <c r="D25" s="328" t="str">
        <f>IF(ISNUMBER(SEARCH("ระดับชั้นข้อมูล",C25)),"การจำแนกประเภทข้อมูล","")</f>
        <v/>
      </c>
      <c r="E25" s="56"/>
      <c r="I25" s="285"/>
      <c r="J25" s="285"/>
      <c r="K25" s="285"/>
      <c r="L25" s="285"/>
      <c r="M25" s="285"/>
      <c r="N25" s="285"/>
      <c r="O25" s="285"/>
      <c r="P25" s="285"/>
      <c r="Q25" s="285"/>
      <c r="R25" s="285"/>
      <c r="S25" s="285"/>
      <c r="T25" s="285"/>
      <c r="U25" s="285"/>
      <c r="V25" s="285"/>
      <c r="W25" s="285"/>
    </row>
    <row r="26" spans="1:23" ht="68.45" customHeight="1">
      <c r="A26" s="46"/>
      <c r="B26" s="383" t="str" cm="1">
        <f t="array" ref="B26">_xlfn.IFS(
    VALUE(D9)=5, "ข้อมูลความมั่นคง",
    VALUE(G10)=5, "ข้อมูลความมั่นคง",
    AND(VALUE(D9)=1, VALUE(D11)=1, VALUE(D12)=1, VALUE(D13)=1, VALUE(D14)=1), "ข้อมูลสาธารณะ",
    TRUE, ""
)</f>
        <v/>
      </c>
      <c r="C26" s="383" t="str">
        <f>IF(ISNUMBER(SEARCH("ข้อมูลความมั่นคง", B26)), "ลับที่สุด",
IF(ISNUMBER(SEARCH("ข้อมูลสาธารณะ", B26)), "เปิดเผย",
IF(OR(
    ISNUMBER(SEARCH("ข้อมูลใช้ภายใน", B26)),
    ISNUMBER(SEARCH("เผยแพร่ภายในองค์กร", B26)),
    ISNUMBER(SEARCH("ข้อมูลส่วนบุคคล", B26))
), "เผยแพร่ภายในองค์กร",
IF(ISNUMBER(SEARCH("ข่าวสารลับ", B26)), "ลับหรือลับมาก", ""))))</f>
        <v/>
      </c>
      <c r="D26" s="80" t="str">
        <f>IF(ISNUMBER(SEARCH("ลับที่สุด",C26)),"Highly Protected Data",
IF(ISNUMBER(SEARCH("เปิดเผย",C26)),"Official Data",
IF(ISNUMBER(SEARCH("เผยแพร่ภายในองค์กร",C26)),"Official Data",
IF(ISNUMBER(SEARCH("ลับหรือลับมาก",C26)),"Protected Data",""))))</f>
        <v/>
      </c>
      <c r="E26" s="99"/>
      <c r="I26" s="285"/>
      <c r="J26" s="285"/>
      <c r="K26" s="285"/>
      <c r="L26" s="285"/>
      <c r="M26" s="285"/>
      <c r="N26" s="285"/>
      <c r="O26" s="285"/>
      <c r="P26" s="285"/>
      <c r="Q26" s="285"/>
      <c r="R26" s="285"/>
      <c r="S26" s="285"/>
      <c r="T26" s="285"/>
      <c r="U26" s="285"/>
      <c r="V26" s="285"/>
      <c r="W26" s="285"/>
    </row>
    <row r="27" spans="1:23" ht="36" customHeight="1">
      <c r="A27" s="46"/>
      <c r="B27" s="384"/>
      <c r="F27" s="99"/>
      <c r="I27" s="285"/>
      <c r="J27" s="285"/>
      <c r="K27" s="285"/>
      <c r="L27" s="285"/>
      <c r="M27" s="285"/>
      <c r="N27" s="285"/>
      <c r="O27" s="285"/>
      <c r="P27" s="285"/>
      <c r="Q27" s="285"/>
      <c r="R27" s="285"/>
      <c r="S27" s="285"/>
      <c r="T27" s="285"/>
      <c r="U27" s="285"/>
      <c r="V27" s="285"/>
      <c r="W27" s="285"/>
    </row>
    <row r="28" spans="1:23" hidden="1">
      <c r="I28" s="285"/>
      <c r="J28" s="285"/>
      <c r="K28" s="285"/>
      <c r="L28" s="285"/>
      <c r="M28" s="285"/>
      <c r="N28" s="285"/>
      <c r="O28" s="285"/>
      <c r="P28" s="285"/>
      <c r="Q28" s="285"/>
      <c r="R28" s="285"/>
      <c r="S28" s="285"/>
      <c r="T28" s="285"/>
      <c r="U28" s="285"/>
      <c r="V28" s="285"/>
      <c r="W28" s="285"/>
    </row>
    <row r="29" spans="1:23" ht="24.95" hidden="1" customHeight="1">
      <c r="B29" s="385"/>
      <c r="C29" s="386"/>
      <c r="D29" s="100"/>
      <c r="E29" s="99"/>
      <c r="F29" s="99"/>
      <c r="I29" s="285"/>
      <c r="J29" s="285"/>
      <c r="K29" s="285"/>
      <c r="L29" s="285"/>
      <c r="M29" s="285"/>
      <c r="N29" s="285"/>
      <c r="O29" s="285"/>
      <c r="P29" s="285"/>
      <c r="Q29" s="285"/>
      <c r="R29" s="285"/>
      <c r="S29" s="285"/>
      <c r="T29" s="285"/>
      <c r="U29" s="285"/>
      <c r="V29" s="285"/>
      <c r="W29" s="285"/>
    </row>
    <row r="30" spans="1:23">
      <c r="A30" s="305"/>
      <c r="B30" s="305"/>
      <c r="C30" s="305"/>
      <c r="D30" s="305"/>
      <c r="E30" s="305"/>
      <c r="F30" s="305"/>
      <c r="G30" s="305"/>
      <c r="H30" s="305"/>
      <c r="I30" s="285"/>
      <c r="J30" s="285"/>
      <c r="K30" s="285"/>
      <c r="L30" s="285"/>
      <c r="M30" s="285"/>
      <c r="N30" s="285"/>
      <c r="O30" s="285"/>
      <c r="P30" s="285"/>
      <c r="Q30" s="285"/>
      <c r="R30" s="285"/>
      <c r="S30" s="285"/>
      <c r="T30" s="285"/>
      <c r="U30" s="285"/>
      <c r="V30" s="285"/>
      <c r="W30" s="285"/>
    </row>
    <row r="31" spans="1:23" ht="30" customHeight="1">
      <c r="B31" s="228" t="s">
        <v>217</v>
      </c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5"/>
      <c r="U31" s="285"/>
      <c r="V31" s="285"/>
      <c r="W31" s="285"/>
    </row>
    <row r="32" spans="1:23" ht="27">
      <c r="A32" s="365"/>
      <c r="B32" s="365" t="s">
        <v>218</v>
      </c>
      <c r="C32" s="365"/>
      <c r="D32" s="365"/>
      <c r="E32" s="365"/>
      <c r="I32" s="285"/>
      <c r="J32" s="285"/>
      <c r="K32" s="285"/>
      <c r="L32" s="285"/>
      <c r="M32" s="285"/>
      <c r="N32" s="285"/>
      <c r="O32" s="285"/>
      <c r="P32" s="285"/>
      <c r="Q32" s="285"/>
      <c r="R32" s="285"/>
      <c r="S32" s="285"/>
      <c r="T32" s="285"/>
      <c r="U32" s="285"/>
      <c r="V32" s="285"/>
      <c r="W32" s="285"/>
    </row>
    <row r="33" spans="1:23" s="56" customFormat="1" ht="74.099999999999994" customHeight="1">
      <c r="A33" s="329"/>
      <c r="B33" s="542" t="s">
        <v>219</v>
      </c>
      <c r="C33" s="543"/>
      <c r="D33" s="543"/>
      <c r="E33" s="543"/>
      <c r="I33" s="285"/>
      <c r="J33" s="285"/>
      <c r="K33" s="285"/>
      <c r="L33" s="285"/>
      <c r="M33" s="285"/>
      <c r="N33" s="285"/>
      <c r="O33" s="285"/>
      <c r="P33" s="285"/>
      <c r="Q33" s="285"/>
      <c r="R33" s="285"/>
      <c r="S33" s="285"/>
      <c r="T33" s="285"/>
      <c r="U33" s="285"/>
      <c r="V33" s="285"/>
      <c r="W33" s="285"/>
    </row>
    <row r="34" spans="1:23" ht="27">
      <c r="A34" s="387"/>
      <c r="B34" s="331" t="s">
        <v>128</v>
      </c>
      <c r="C34" s="359" t="s">
        <v>6</v>
      </c>
      <c r="D34" s="666" t="s">
        <v>220</v>
      </c>
      <c r="I34" s="285"/>
      <c r="J34" s="285"/>
      <c r="K34" s="285"/>
      <c r="L34" s="285"/>
      <c r="M34" s="285"/>
      <c r="N34" s="285"/>
      <c r="O34" s="285"/>
      <c r="P34" s="285"/>
      <c r="Q34" s="285"/>
      <c r="R34" s="285"/>
      <c r="S34" s="285"/>
      <c r="T34" s="285"/>
      <c r="U34" s="285"/>
      <c r="V34" s="285"/>
      <c r="W34" s="285"/>
    </row>
    <row r="35" spans="1:23" ht="24">
      <c r="A35" s="329"/>
      <c r="B35" s="354" t="s">
        <v>130</v>
      </c>
      <c r="C35" s="174">
        <f>'Assessment Tools'!D41</f>
        <v>0</v>
      </c>
      <c r="D35" s="61" t="str">
        <f>IF(ISNUMBER(SEARCH("ต่ำ",C35)),1,IF(ISNUMBER(SEARCH("กลาง",C35)),2,IF(ISNUMBER(SEARCH("สูง",C35)),3,"")))</f>
        <v/>
      </c>
      <c r="I35" s="285"/>
      <c r="J35" s="285"/>
      <c r="K35" s="285"/>
      <c r="L35" s="285"/>
      <c r="M35" s="285"/>
      <c r="N35" s="285"/>
      <c r="O35" s="285"/>
      <c r="P35" s="285"/>
      <c r="Q35" s="285"/>
      <c r="R35" s="285"/>
      <c r="S35" s="285"/>
      <c r="T35" s="285"/>
      <c r="U35" s="285"/>
      <c r="V35" s="285"/>
      <c r="W35" s="285"/>
    </row>
    <row r="36" spans="1:23" ht="24">
      <c r="A36" s="329"/>
      <c r="B36" s="354" t="s">
        <v>131</v>
      </c>
      <c r="C36" s="174">
        <f>'Assessment Tools'!D42</f>
        <v>0</v>
      </c>
      <c r="D36" s="61" t="str">
        <f t="shared" ref="D36:D37" si="0">IF(ISNUMBER(SEARCH("ต่ำ",C36)),1,IF(ISNUMBER(SEARCH("กลาง",C36)),2,IF(ISNUMBER(SEARCH("สูง",C36)),3,"")))</f>
        <v/>
      </c>
      <c r="I36" s="285"/>
      <c r="J36" s="285"/>
      <c r="K36" s="285"/>
      <c r="L36" s="285"/>
      <c r="M36" s="285"/>
      <c r="N36" s="285"/>
      <c r="O36" s="285"/>
      <c r="P36" s="285"/>
      <c r="Q36" s="285"/>
      <c r="R36" s="285"/>
      <c r="S36" s="285"/>
      <c r="T36" s="285"/>
      <c r="U36" s="285"/>
      <c r="V36" s="285"/>
      <c r="W36" s="285"/>
    </row>
    <row r="37" spans="1:23" ht="24">
      <c r="A37" s="329"/>
      <c r="B37" s="355" t="s">
        <v>132</v>
      </c>
      <c r="C37" s="174">
        <f>'Assessment Tools'!D43</f>
        <v>0</v>
      </c>
      <c r="D37" s="61" t="str">
        <f t="shared" si="0"/>
        <v/>
      </c>
      <c r="I37" s="285"/>
      <c r="J37" s="285"/>
      <c r="K37" s="285"/>
      <c r="L37" s="285"/>
      <c r="M37" s="285"/>
      <c r="N37" s="285"/>
      <c r="O37" s="285"/>
      <c r="P37" s="285"/>
      <c r="Q37" s="285"/>
      <c r="R37" s="285"/>
      <c r="S37" s="285"/>
      <c r="T37" s="285"/>
      <c r="U37" s="285"/>
      <c r="V37" s="285"/>
      <c r="W37" s="285"/>
    </row>
    <row r="38" spans="1:23" ht="24">
      <c r="A38" s="329"/>
      <c r="B38" s="335" t="s">
        <v>133</v>
      </c>
      <c r="C38" s="388" t="str">
        <f>IFERROR(
    IF(D38=1,"ต่ำ (กระทบ CIA ระดับต่ำ)",
        IF(D38=2,"กลาง (กระทบ CIA ระดับกลาง)",
            IF(D38=3,"สูง (กระทบ CIA ระดับสูง)","")
        )
    ),
    ""
)</f>
        <v/>
      </c>
      <c r="D38" s="389" t="str">
        <f>IFERROR(ROUND(AVERAGE(D35:D37),0),"")</f>
        <v/>
      </c>
      <c r="E38" s="390" t="str">
        <f>IFERROR(AVERAGE(D35:D37),"")</f>
        <v/>
      </c>
      <c r="I38" s="285"/>
      <c r="J38" s="285"/>
      <c r="K38" s="285"/>
      <c r="L38" s="285"/>
      <c r="M38" s="285"/>
      <c r="N38" s="285"/>
      <c r="O38" s="285"/>
      <c r="P38" s="285"/>
      <c r="Q38" s="285"/>
      <c r="R38" s="285"/>
      <c r="S38" s="285"/>
      <c r="T38" s="285"/>
      <c r="U38" s="285"/>
      <c r="V38" s="285"/>
      <c r="W38" s="285"/>
    </row>
    <row r="39" spans="1:23">
      <c r="A39" s="329"/>
      <c r="I39" s="285"/>
      <c r="J39" s="285"/>
      <c r="K39" s="285"/>
      <c r="L39" s="285"/>
      <c r="M39" s="285"/>
      <c r="N39" s="285"/>
      <c r="O39" s="285"/>
      <c r="P39" s="285"/>
      <c r="Q39" s="285"/>
      <c r="R39" s="285"/>
      <c r="S39" s="285"/>
      <c r="T39" s="285"/>
      <c r="U39" s="285"/>
      <c r="V39" s="285"/>
      <c r="W39" s="285"/>
    </row>
    <row r="40" spans="1:23">
      <c r="A40" s="329"/>
      <c r="B40" s="227" t="s">
        <v>221</v>
      </c>
      <c r="D40" s="391"/>
      <c r="I40" s="285"/>
      <c r="J40" s="285"/>
      <c r="K40" s="285"/>
      <c r="L40" s="285"/>
      <c r="M40" s="285"/>
      <c r="N40" s="285"/>
      <c r="O40" s="285"/>
      <c r="P40" s="285"/>
      <c r="Q40" s="285"/>
      <c r="R40" s="285"/>
      <c r="S40" s="285"/>
      <c r="T40" s="285"/>
      <c r="U40" s="285"/>
      <c r="V40" s="285"/>
      <c r="W40" s="285"/>
    </row>
    <row r="41" spans="1:23" ht="24">
      <c r="A41" s="329"/>
      <c r="B41" s="230" t="s">
        <v>222</v>
      </c>
      <c r="C41" s="269" t="str">
        <f>D38</f>
        <v/>
      </c>
      <c r="I41" s="285"/>
      <c r="J41" s="285"/>
      <c r="K41" s="285"/>
      <c r="L41" s="285"/>
      <c r="M41" s="285"/>
      <c r="N41" s="285"/>
      <c r="O41" s="285"/>
      <c r="P41" s="285"/>
      <c r="Q41" s="285"/>
      <c r="R41" s="285"/>
      <c r="S41" s="285"/>
      <c r="T41" s="285"/>
      <c r="U41" s="285"/>
      <c r="V41" s="285"/>
      <c r="W41" s="285"/>
    </row>
    <row r="42" spans="1:23" ht="20.45" customHeight="1">
      <c r="A42" s="329"/>
      <c r="B42" s="392" t="s">
        <v>223</v>
      </c>
      <c r="C42" s="229" t="str">
        <f>IF(TRIM('Assessment Tools'!D47)="","0",IF(TRIM('Assessment Tools'!D47)="ใช่",5,IF(TRIM('Assessment Tools'!D47)="0",0,1)))</f>
        <v>0</v>
      </c>
      <c r="I42" s="285"/>
      <c r="J42" s="285"/>
      <c r="K42" s="285"/>
      <c r="L42" s="285"/>
      <c r="M42" s="285"/>
      <c r="N42" s="285"/>
      <c r="O42" s="285"/>
      <c r="P42" s="285"/>
      <c r="Q42" s="285"/>
      <c r="R42" s="285"/>
      <c r="S42" s="285"/>
      <c r="T42" s="285"/>
      <c r="U42" s="285"/>
      <c r="V42" s="285"/>
      <c r="W42" s="285"/>
    </row>
    <row r="43" spans="1:23" ht="24.6" customHeight="1">
      <c r="A43" s="329"/>
      <c r="B43" s="393"/>
      <c r="D43" s="341"/>
      <c r="I43" s="285"/>
      <c r="J43" s="285"/>
      <c r="K43" s="285"/>
      <c r="L43" s="285"/>
      <c r="M43" s="285"/>
      <c r="N43" s="285"/>
      <c r="O43" s="285"/>
      <c r="P43" s="285"/>
      <c r="Q43" s="285"/>
      <c r="R43" s="285"/>
      <c r="S43" s="285"/>
      <c r="T43" s="285"/>
      <c r="U43" s="285"/>
      <c r="V43" s="285"/>
      <c r="W43" s="285"/>
    </row>
    <row r="44" spans="1:23" ht="16.5" customHeight="1">
      <c r="A44" s="329"/>
      <c r="B44" s="394"/>
      <c r="C44" s="341"/>
      <c r="D44" s="341"/>
      <c r="I44" s="285"/>
      <c r="J44" s="285"/>
      <c r="K44" s="285"/>
      <c r="L44" s="285"/>
      <c r="M44" s="285"/>
      <c r="N44" s="285"/>
      <c r="O44" s="285"/>
      <c r="P44" s="285"/>
      <c r="Q44" s="285"/>
      <c r="R44" s="285"/>
      <c r="S44" s="285"/>
      <c r="T44" s="285"/>
      <c r="U44" s="285"/>
      <c r="V44" s="285"/>
      <c r="W44" s="285"/>
    </row>
    <row r="45" spans="1:23" ht="24">
      <c r="A45" s="329"/>
      <c r="B45" s="503" t="s">
        <v>224</v>
      </c>
      <c r="C45" s="504"/>
      <c r="D45" s="504"/>
      <c r="I45" s="285"/>
      <c r="J45" s="285"/>
      <c r="K45" s="285"/>
      <c r="L45" s="285"/>
      <c r="M45" s="285"/>
      <c r="N45" s="285"/>
      <c r="O45" s="285"/>
      <c r="P45" s="285"/>
      <c r="Q45" s="285"/>
      <c r="R45" s="285"/>
      <c r="S45" s="285"/>
      <c r="T45" s="285"/>
      <c r="U45" s="285"/>
      <c r="V45" s="285"/>
      <c r="W45" s="285"/>
    </row>
    <row r="46" spans="1:23" ht="33">
      <c r="A46" s="329"/>
      <c r="B46" s="553" t="str">
        <f>IF(
  IFERROR(SEARCH("มั่นคง", TRIM(SUBSTITUTE(B47,CHAR(160)," ")))&gt;0, FALSE),
  "จบการทำแบบประเมิน",
  IF(
    IFERROR(SEARCH("ประเมิน", TRIM(SUBSTITUTE(B47,CHAR(160)," ")))&gt;0, FALSE),
    HYPERLINK("#'Calculation Sheet'!B63","คลิกที่นี่ เพื่อประเมินในส่วนที่ 3"),
    ""
  )
)</f>
        <v/>
      </c>
      <c r="C46" s="553"/>
      <c r="D46" s="553"/>
      <c r="I46" s="285"/>
      <c r="J46" s="285"/>
      <c r="K46" s="285"/>
      <c r="L46" s="285"/>
      <c r="M46" s="285"/>
      <c r="N46" s="285"/>
      <c r="O46" s="285"/>
      <c r="P46" s="285"/>
      <c r="Q46" s="285"/>
      <c r="R46" s="285"/>
      <c r="S46" s="285"/>
      <c r="T46" s="285"/>
      <c r="U46" s="285"/>
      <c r="V46" s="285"/>
      <c r="W46" s="285"/>
    </row>
    <row r="47" spans="1:23" ht="54.95" customHeight="1">
      <c r="A47" s="329"/>
      <c r="B47" s="552" t="str" cm="1">
        <f t="array" ref="B47">_xlfn.IFS(
OR(C41="",C42=""),"",
AND(VALUE(C41)&gt;2,VALUE(C42)=5),"เป็นข้อมูลส่งผลกระทบด้านความมั่นคงของรัฐและความสงบเรียบร้อยของประชาชน ให้ใช้ประกาศของ กมช. ประกอบการพิจารณาเลือกใช้คลาวด์",
AND(VALUE(C41)&gt;2,VALUE(C42)=1),"ควรมีการประเมินความเสี่ยงเพื่อระบุระดับชั้นข้อมูลเพิ่มเติม",
AND(VALUE(C41)&lt;3,VALUE(C42)=1),"ควรมีการประเมินความเสี่ยงเพื่อระบุระดับชั้นข้อมูลเพิ่มเติม",
OR(AND(VALUE(C41)&lt;3,VALUE(C42)=0),AND(VALUE(C41)&gt;2,VALUE(C42)=0)),"ควรมีการประเมินความเสี่ยงเพื่อระบุระดับชั้นข้อมูลเพิ่มเติม",
TRUE,"")</f>
        <v/>
      </c>
      <c r="C47" s="552"/>
      <c r="D47" s="552"/>
      <c r="I47" s="285"/>
      <c r="J47" s="285"/>
      <c r="K47" s="285"/>
      <c r="L47" s="285"/>
      <c r="M47" s="285"/>
      <c r="N47" s="285"/>
      <c r="O47" s="285"/>
      <c r="P47" s="285"/>
      <c r="Q47" s="285"/>
      <c r="R47" s="285"/>
      <c r="S47" s="285"/>
      <c r="T47" s="285"/>
      <c r="U47" s="285"/>
      <c r="V47" s="285"/>
      <c r="W47" s="285"/>
    </row>
    <row r="48" spans="1:23" ht="23.45" customHeight="1">
      <c r="A48" s="329"/>
      <c r="B48" s="455" t="str">
        <f>IFERROR(
  IF(
    AND(
      _xlfn.NUMBERVALUE(TRIM(C41))=3,
      _xlfn.NUMBERVALUE(TRIM(C42))=5
    ),
    "หมวดหมู่ข้อมูล",
    ""
  ),
  ""
)</f>
        <v/>
      </c>
      <c r="C48" s="359" t="str">
        <f>IF(ISNUMBER(SEARCH("หมวดหมู่ข้อมูล",B48)),"การจัดระดับชั้นข้อมูล","")</f>
        <v/>
      </c>
      <c r="D48" s="359" t="str">
        <f>IF(ISNUMBER(SEARCH("ระดับชั้นข้อมูล",C48)),"การจำแนกประเภทข้อมูล","")</f>
        <v/>
      </c>
      <c r="E48" s="395"/>
      <c r="F48" s="325"/>
      <c r="I48" s="285"/>
      <c r="J48" s="285"/>
      <c r="K48" s="285"/>
      <c r="L48" s="285"/>
      <c r="M48" s="285"/>
      <c r="N48" s="285"/>
      <c r="O48" s="285"/>
      <c r="P48" s="285"/>
      <c r="Q48" s="285"/>
      <c r="R48" s="285"/>
      <c r="S48" s="285"/>
      <c r="T48" s="285"/>
      <c r="U48" s="285"/>
      <c r="V48" s="285"/>
      <c r="W48" s="285"/>
    </row>
    <row r="49" spans="1:23" ht="33" customHeight="1">
      <c r="A49" s="329"/>
      <c r="B49" s="226" t="str">
        <f>IFERROR(
    IF(
        AND(_xlfn.NUMBERVALUE(TRIM(C41))=3, _xlfn.NUMBERVALUE(TRIM(C42))=5),
        "ข้อมูลความมั่นคง",
        ""
    ),
    ""
)</f>
        <v/>
      </c>
      <c r="C49" s="226" t="str" cm="1">
        <f t="array" ref="C49">_xlfn.IFS(AND(C41=3,C42=5),"ลับที่สุด",TRUE,"")</f>
        <v/>
      </c>
      <c r="D49" s="59" t="str">
        <f>IF(TRIM(C49)="ลับที่สุด",
    "Highly Protected Data",
    IF(OR(ISNUMBER(SEARCH("เปิดเผย",C49)), ISNUMBER(SEARCH("เผยแพร่ภายในองค์กร",C49))),
        "Official Data",
        ""
    )
)</f>
        <v/>
      </c>
      <c r="E49" s="325"/>
      <c r="F49" s="349"/>
      <c r="I49" s="285"/>
      <c r="J49" s="285"/>
      <c r="K49" s="285"/>
      <c r="L49" s="285"/>
      <c r="M49" s="285"/>
      <c r="N49" s="285"/>
      <c r="O49" s="285"/>
      <c r="P49" s="285"/>
      <c r="Q49" s="285"/>
      <c r="R49" s="285"/>
      <c r="S49" s="285"/>
      <c r="T49" s="285"/>
      <c r="U49" s="285"/>
      <c r="V49" s="285"/>
      <c r="W49" s="285"/>
    </row>
    <row r="50" spans="1:23" ht="33" customHeight="1">
      <c r="A50" s="329"/>
      <c r="I50" s="285"/>
      <c r="J50" s="285"/>
      <c r="K50" s="285"/>
      <c r="L50" s="285"/>
      <c r="M50" s="285"/>
      <c r="N50" s="285"/>
      <c r="O50" s="285"/>
      <c r="P50" s="285"/>
      <c r="Q50" s="285"/>
      <c r="R50" s="285"/>
      <c r="S50" s="285"/>
      <c r="T50" s="285"/>
      <c r="U50" s="285"/>
      <c r="V50" s="285"/>
      <c r="W50" s="285"/>
    </row>
    <row r="51" spans="1:23">
      <c r="A51" s="329"/>
      <c r="I51" s="285"/>
      <c r="J51" s="285"/>
      <c r="K51" s="285"/>
      <c r="L51" s="285"/>
      <c r="M51" s="285"/>
      <c r="N51" s="285"/>
      <c r="O51" s="285"/>
      <c r="P51" s="285"/>
      <c r="Q51" s="285"/>
      <c r="R51" s="285"/>
      <c r="S51" s="285"/>
      <c r="T51" s="285"/>
      <c r="U51" s="285"/>
      <c r="V51" s="285"/>
      <c r="W51" s="285"/>
    </row>
    <row r="52" spans="1:23" ht="69" customHeight="1">
      <c r="A52" s="329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</row>
    <row r="53" spans="1:23">
      <c r="A53" s="305"/>
      <c r="B53" s="305"/>
      <c r="C53" s="305"/>
      <c r="D53" s="305"/>
      <c r="E53" s="305"/>
      <c r="F53" s="305"/>
      <c r="G53" s="305"/>
      <c r="H53" s="305"/>
      <c r="I53" s="285"/>
      <c r="J53" s="285"/>
      <c r="K53" s="285"/>
      <c r="L53" s="285"/>
      <c r="M53" s="285"/>
      <c r="N53" s="285"/>
      <c r="O53" s="285"/>
      <c r="P53" s="285"/>
      <c r="Q53" s="285"/>
      <c r="R53" s="285"/>
      <c r="S53" s="285"/>
      <c r="T53" s="285"/>
      <c r="U53" s="285"/>
      <c r="V53" s="285"/>
      <c r="W53" s="285"/>
    </row>
    <row r="54" spans="1:23"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</row>
    <row r="55" spans="1:23" ht="63" customHeight="1">
      <c r="B55" s="228" t="s">
        <v>225</v>
      </c>
      <c r="I55" s="285"/>
      <c r="J55" s="285"/>
      <c r="K55" s="285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</row>
    <row r="56" spans="1:23" ht="27">
      <c r="A56" s="554" t="s">
        <v>226</v>
      </c>
      <c r="B56" s="555"/>
      <c r="C56" s="555"/>
      <c r="D56" s="555"/>
      <c r="E56" s="555"/>
      <c r="F56" s="555"/>
      <c r="G56" s="55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</row>
    <row r="57" spans="1:23" ht="147.6" customHeight="1">
      <c r="A57" s="46"/>
      <c r="B57" s="544" t="s">
        <v>227</v>
      </c>
      <c r="C57" s="544"/>
      <c r="D57" s="544"/>
      <c r="E57" s="544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</row>
    <row r="58" spans="1:23" ht="18.600000000000001" customHeight="1">
      <c r="A58" s="46"/>
      <c r="B58" s="55"/>
      <c r="C58" s="232" t="s">
        <v>228</v>
      </c>
      <c r="D58" s="233" t="s">
        <v>3</v>
      </c>
      <c r="E58" s="232" t="s">
        <v>228</v>
      </c>
      <c r="F58" s="233" t="s">
        <v>3</v>
      </c>
      <c r="G58" s="233" t="s">
        <v>4</v>
      </c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</row>
    <row r="59" spans="1:23" ht="29.45">
      <c r="A59" s="309"/>
      <c r="B59" s="67" t="s">
        <v>5</v>
      </c>
      <c r="C59" s="93" t="s">
        <v>6</v>
      </c>
      <c r="D59" s="231" t="s">
        <v>7</v>
      </c>
      <c r="E59" s="97" t="s">
        <v>8</v>
      </c>
      <c r="F59" s="231" t="s">
        <v>9</v>
      </c>
      <c r="G59" s="231" t="s">
        <v>10</v>
      </c>
      <c r="I59" s="285"/>
      <c r="J59" s="285"/>
      <c r="K59" s="285"/>
      <c r="L59" s="285"/>
      <c r="M59" s="285"/>
      <c r="N59" s="285"/>
      <c r="O59" s="285"/>
      <c r="P59" s="285"/>
      <c r="Q59" s="285"/>
      <c r="R59" s="285"/>
      <c r="S59" s="285"/>
      <c r="T59" s="285"/>
      <c r="U59" s="285"/>
      <c r="V59" s="285"/>
      <c r="W59" s="285"/>
    </row>
    <row r="60" spans="1:23" ht="31.5" customHeight="1">
      <c r="A60" s="46"/>
      <c r="B60" s="354" t="s">
        <v>138</v>
      </c>
      <c r="C60" s="269">
        <f>'Assessment Tools'!D65</f>
        <v>0</v>
      </c>
      <c r="D60" s="269" t="str">
        <f>IF(ISNUMBER(SEARCH("ต่ำ",C60)),1,IF(ISNUMBER(SEARCH("กลาง",C60)),2,IF(ISNUMBER(SEARCH("สูง",C60)),3,"")))</f>
        <v/>
      </c>
      <c r="E60" s="269">
        <f>'Assessment Tools'!E65</f>
        <v>0</v>
      </c>
      <c r="F60" s="269" t="str">
        <f>IF(TRIM(E60)="","",
IF(ISNUMBER(SEARCH("สูงมาก",TRIM(E60))),5,
IF(ISNUMBER(SEARCH("สูง",TRIM(E60))),4,
IF(ISNUMBER(SEARCH("บางครั้ง",TRIM(E60))),3,
IF(ISNUMBER(SEARCH("น้อยครั้ง",TRIM(E60))),2,
IF(ISNUMBER(SEARCH("น้อยมาก",TRIM(E60))),1,""))))))</f>
        <v/>
      </c>
      <c r="G60" s="269" t="e">
        <f>D60*F60</f>
        <v>#VALUE!</v>
      </c>
      <c r="I60" s="285"/>
      <c r="J60" s="285"/>
      <c r="K60" s="285"/>
      <c r="L60" s="285"/>
      <c r="M60" s="285"/>
      <c r="N60" s="285"/>
      <c r="O60" s="285"/>
      <c r="P60" s="285"/>
      <c r="Q60" s="285"/>
      <c r="R60" s="285"/>
      <c r="S60" s="285"/>
      <c r="T60" s="285"/>
      <c r="U60" s="285"/>
      <c r="V60" s="285"/>
      <c r="W60" s="285"/>
    </row>
    <row r="61" spans="1:23" ht="30.6" customHeight="1">
      <c r="A61" s="46"/>
      <c r="B61" s="354" t="s">
        <v>139</v>
      </c>
      <c r="C61" s="269">
        <f>'Assessment Tools'!D66</f>
        <v>0</v>
      </c>
      <c r="D61" s="269" t="str">
        <f t="shared" ref="D61:D63" si="1">IF(ISNUMBER(SEARCH("ต่ำ",C61)),1,IF(ISNUMBER(SEARCH("กลาง",C61)),2,IF(ISNUMBER(SEARCH("สูง",C61)),3,"")))</f>
        <v/>
      </c>
      <c r="E61" s="269">
        <f>'Assessment Tools'!E66</f>
        <v>0</v>
      </c>
      <c r="F61" s="269" t="str">
        <f t="shared" ref="F61:F64" si="2">IF(TRIM(E61)="","",
IF(ISNUMBER(SEARCH("สูงมาก",TRIM(E61))),5,
IF(ISNUMBER(SEARCH("สูง",TRIM(E61))),4,
IF(ISNUMBER(SEARCH("บางครั้ง",TRIM(E61))),3,
IF(ISNUMBER(SEARCH("น้อยครั้ง",TRIM(E61))),2,
IF(ISNUMBER(SEARCH("น้อยมาก",TRIM(E61))),1,""))))))</f>
        <v/>
      </c>
      <c r="G61" s="269" t="e">
        <f t="shared" ref="G61:G63" si="3">D61*F61</f>
        <v>#VALUE!</v>
      </c>
      <c r="I61" s="285"/>
      <c r="J61" s="285"/>
      <c r="K61" s="285"/>
      <c r="L61" s="285"/>
      <c r="M61" s="285"/>
      <c r="N61" s="285"/>
      <c r="O61" s="285"/>
      <c r="P61" s="285"/>
      <c r="Q61" s="285"/>
      <c r="R61" s="285"/>
      <c r="S61" s="285"/>
      <c r="T61" s="285"/>
      <c r="U61" s="285"/>
      <c r="V61" s="285"/>
      <c r="W61" s="285"/>
    </row>
    <row r="62" spans="1:23" ht="24">
      <c r="A62" s="46"/>
      <c r="B62" s="355" t="s">
        <v>140</v>
      </c>
      <c r="C62" s="269">
        <f>'Assessment Tools'!D67</f>
        <v>0</v>
      </c>
      <c r="D62" s="269" t="str">
        <f t="shared" si="1"/>
        <v/>
      </c>
      <c r="E62" s="269">
        <f>'Assessment Tools'!E67</f>
        <v>0</v>
      </c>
      <c r="F62" s="269" t="str">
        <f t="shared" si="2"/>
        <v/>
      </c>
      <c r="G62" s="269" t="e">
        <f t="shared" si="3"/>
        <v>#VALUE!</v>
      </c>
      <c r="I62" s="285"/>
      <c r="J62" s="285"/>
      <c r="K62" s="285"/>
      <c r="L62" s="285"/>
      <c r="M62" s="285"/>
      <c r="N62" s="285"/>
      <c r="O62" s="285"/>
      <c r="P62" s="285"/>
      <c r="Q62" s="285"/>
      <c r="R62" s="285"/>
      <c r="S62" s="285"/>
      <c r="T62" s="285"/>
      <c r="U62" s="285"/>
      <c r="V62" s="285"/>
      <c r="W62" s="285"/>
    </row>
    <row r="63" spans="1:23" ht="26.1" customHeight="1">
      <c r="A63" s="46"/>
      <c r="B63" s="354" t="s">
        <v>141</v>
      </c>
      <c r="C63" s="269">
        <f>'Assessment Tools'!D68</f>
        <v>0</v>
      </c>
      <c r="D63" s="269" t="str">
        <f t="shared" si="1"/>
        <v/>
      </c>
      <c r="E63" s="269">
        <f>'Assessment Tools'!E68</f>
        <v>0</v>
      </c>
      <c r="F63" s="269" t="str">
        <f t="shared" si="2"/>
        <v/>
      </c>
      <c r="G63" s="269" t="e">
        <f t="shared" si="3"/>
        <v>#VALUE!</v>
      </c>
      <c r="I63" s="285"/>
      <c r="J63" s="285"/>
      <c r="K63" s="285"/>
      <c r="L63" s="285"/>
      <c r="M63" s="285"/>
      <c r="N63" s="285"/>
      <c r="O63" s="285"/>
      <c r="P63" s="285"/>
      <c r="Q63" s="285"/>
      <c r="R63" s="285"/>
      <c r="S63" s="285"/>
      <c r="T63" s="285"/>
      <c r="U63" s="285"/>
      <c r="V63" s="285"/>
      <c r="W63" s="285"/>
    </row>
    <row r="64" spans="1:23" ht="35.1" customHeight="1">
      <c r="A64" s="46"/>
      <c r="B64" s="356" t="s">
        <v>142</v>
      </c>
      <c r="C64" s="269" t="str">
        <f>C38</f>
        <v/>
      </c>
      <c r="D64" s="269" t="str">
        <f>IF(ISNUMBER(SEARCH("ต่ำ",C64)),1,IF(ISNUMBER(SEARCH("กลาง",C64)),2,IF(ISNUMBER(SEARCH("สูง",C64)),3,"")))</f>
        <v/>
      </c>
      <c r="E64" s="269">
        <f>'Assessment Tools'!E69</f>
        <v>0</v>
      </c>
      <c r="F64" s="269" t="str">
        <f t="shared" si="2"/>
        <v/>
      </c>
      <c r="G64" s="269" t="e">
        <f>D64*F64</f>
        <v>#VALUE!</v>
      </c>
      <c r="I64" s="285"/>
      <c r="J64" s="285"/>
      <c r="K64" s="285"/>
      <c r="L64" s="285"/>
      <c r="M64" s="285"/>
      <c r="N64" s="285"/>
      <c r="O64" s="285"/>
      <c r="P64" s="285"/>
      <c r="Q64" s="285"/>
      <c r="R64" s="285"/>
      <c r="S64" s="285"/>
      <c r="T64" s="285"/>
      <c r="U64" s="285"/>
      <c r="V64" s="285"/>
      <c r="W64" s="285"/>
    </row>
    <row r="65" spans="1:23" ht="24">
      <c r="A65" s="46"/>
      <c r="B65" s="73" t="s">
        <v>28</v>
      </c>
      <c r="C65" s="59" t="str">
        <f>_xlfn.LET(
  _xlpm.x, _xlfn.NUMBERVALUE(TRIM(C68)),
  _xlpm.y, _xlfn.NUMBERVALUE(TRIM(C70)),
  _xlpm.dText, TRIM(D65),
  _xlpm.d, IF(_xlpm.dText="", NA(), _xlfn.NUMBERVALUE(_xlpm.dText)),
  IF(_xlpm.dText="", "",
    IFERROR(
      IF(AND(_xlpm.x&lt;5, _xlpm.y=5), "ปานกลาง",
        IF(_xlpm.d&gt;9, "สูงมาก",
          IF(_xlpm.d&gt;6, "สูง",
            IF(_xlpm.d&gt;4, "ปานกลาง",
              IF(_xlpm.d&gt;2, "ต่ำ", "ต่ำมาก")
            )
          )
        )
      ),
      ""
    )
  )
)</f>
        <v/>
      </c>
      <c r="D65" s="269" t="str">
        <f>IFERROR(ROUND(AVERAGE(G60:G64),0),"")</f>
        <v/>
      </c>
      <c r="E65" s="92" t="str">
        <f>IFERROR(
  IF(_xlfn.NUMBERVALUE(TRIM(D65))&gt;9,"สูงมาก",
     IF(_xlfn.NUMBERVALUE(TRIM(D65))&gt;6,"สูง",
        IF(_xlfn.NUMBERVALUE(TRIM(D65))&gt;4,"ปานกลาง",
           IF(_xlfn.NUMBERVALUE(TRIM(D65))&gt;2,"ต่ำ","ต่ำมาก")
        )
     )
  ),
  ""
)</f>
        <v>ต่ำมาก</v>
      </c>
      <c r="I65" s="285"/>
      <c r="J65" s="285"/>
      <c r="K65" s="285"/>
      <c r="L65" s="285"/>
      <c r="M65" s="285"/>
      <c r="N65" s="285"/>
      <c r="O65" s="285"/>
      <c r="P65" s="285"/>
      <c r="Q65" s="285"/>
      <c r="R65" s="285"/>
      <c r="S65" s="285"/>
      <c r="T65" s="285"/>
      <c r="U65" s="285"/>
      <c r="V65" s="285"/>
      <c r="W65" s="285"/>
    </row>
    <row r="66" spans="1:23">
      <c r="A66" s="46"/>
      <c r="I66" s="285"/>
      <c r="J66" s="285"/>
      <c r="K66" s="285"/>
      <c r="L66" s="285"/>
      <c r="M66" s="285"/>
      <c r="N66" s="285"/>
      <c r="O66" s="285"/>
      <c r="P66" s="285"/>
      <c r="Q66" s="285"/>
      <c r="R66" s="285"/>
      <c r="S66" s="285"/>
      <c r="T66" s="285"/>
      <c r="U66" s="285"/>
      <c r="V66" s="285"/>
      <c r="W66" s="285"/>
    </row>
    <row r="67" spans="1:23">
      <c r="A67" s="46"/>
      <c r="B67" s="227" t="s">
        <v>221</v>
      </c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</row>
    <row r="68" spans="1:23" ht="24">
      <c r="A68" s="46"/>
      <c r="B68" s="230" t="s">
        <v>229</v>
      </c>
      <c r="C68" s="229" t="str">
        <f>D65</f>
        <v/>
      </c>
      <c r="I68" s="285"/>
      <c r="J68" s="285"/>
      <c r="K68" s="285"/>
      <c r="L68" s="285"/>
      <c r="M68" s="285"/>
      <c r="N68" s="285"/>
      <c r="O68" s="285"/>
      <c r="P68" s="285"/>
      <c r="Q68" s="285"/>
      <c r="R68" s="285"/>
      <c r="S68" s="285"/>
      <c r="T68" s="285"/>
      <c r="U68" s="285"/>
      <c r="V68" s="285"/>
      <c r="W68" s="285"/>
    </row>
    <row r="69" spans="1:23" ht="46.5" customHeight="1">
      <c r="A69" s="46"/>
      <c r="B69" s="234" t="s">
        <v>230</v>
      </c>
      <c r="C69" s="269" t="str">
        <f>IF(TRIM('Assessment Tools'!D73)="","0",IF(TRIM('Assessment Tools'!D73)="ใช่",5,IF(TRIM('Assessment Tools'!D73)="0",0,1)))</f>
        <v>0</v>
      </c>
      <c r="I69" s="285"/>
      <c r="J69" s="285"/>
      <c r="K69" s="285"/>
      <c r="L69" s="285"/>
      <c r="M69" s="285"/>
      <c r="N69" s="285"/>
      <c r="O69" s="285"/>
      <c r="P69" s="285"/>
      <c r="Q69" s="285"/>
      <c r="R69" s="285"/>
      <c r="S69" s="285"/>
      <c r="T69" s="285"/>
      <c r="U69" s="285"/>
      <c r="V69" s="285"/>
      <c r="W69" s="285"/>
    </row>
    <row r="70" spans="1:23" ht="46.5" customHeight="1">
      <c r="A70" s="46"/>
      <c r="B70" s="441" t="s">
        <v>231</v>
      </c>
      <c r="C70" s="269">
        <f>IF(ISNUMBER(SEARCH("ความลับ",C15)),5,0)</f>
        <v>0</v>
      </c>
      <c r="I70" s="285"/>
      <c r="J70" s="285"/>
      <c r="K70" s="285"/>
      <c r="L70" s="285"/>
      <c r="M70" s="285"/>
      <c r="N70" s="285"/>
      <c r="O70" s="285"/>
      <c r="P70" s="285"/>
      <c r="Q70" s="285"/>
      <c r="R70" s="285"/>
      <c r="S70" s="285"/>
      <c r="T70" s="285"/>
      <c r="U70" s="285"/>
      <c r="V70" s="285"/>
      <c r="W70" s="285"/>
    </row>
    <row r="71" spans="1:23">
      <c r="A71" s="46"/>
      <c r="I71" s="285"/>
      <c r="J71" s="285"/>
      <c r="K71" s="285"/>
      <c r="L71" s="285"/>
      <c r="M71" s="285"/>
      <c r="N71" s="285"/>
      <c r="O71" s="285"/>
      <c r="P71" s="285"/>
      <c r="Q71" s="285"/>
      <c r="R71" s="285"/>
      <c r="S71" s="285"/>
      <c r="T71" s="285"/>
      <c r="U71" s="285"/>
      <c r="V71" s="285"/>
      <c r="W71" s="285"/>
    </row>
    <row r="72" spans="1:23">
      <c r="A72" s="46"/>
      <c r="I72" s="285"/>
      <c r="J72" s="285"/>
      <c r="K72" s="285"/>
      <c r="L72" s="285"/>
      <c r="M72" s="285"/>
      <c r="N72" s="285"/>
      <c r="O72" s="285"/>
      <c r="P72" s="285"/>
      <c r="Q72" s="285"/>
      <c r="R72" s="285"/>
      <c r="S72" s="285"/>
      <c r="T72" s="285"/>
      <c r="U72" s="285"/>
      <c r="V72" s="285"/>
      <c r="W72" s="285"/>
    </row>
    <row r="73" spans="1:23" ht="27">
      <c r="A73" s="46"/>
      <c r="B73" s="539" t="s">
        <v>143</v>
      </c>
      <c r="C73" s="540"/>
      <c r="D73" s="540"/>
      <c r="F73" s="272"/>
      <c r="I73" s="285"/>
      <c r="J73" s="285"/>
      <c r="K73" s="285"/>
      <c r="L73" s="285"/>
      <c r="M73" s="285"/>
      <c r="N73" s="285"/>
      <c r="O73" s="285"/>
      <c r="P73" s="285"/>
      <c r="Q73" s="285"/>
      <c r="R73" s="285"/>
      <c r="S73" s="285"/>
      <c r="T73" s="285"/>
      <c r="U73" s="285"/>
      <c r="V73" s="285"/>
      <c r="W73" s="285"/>
    </row>
    <row r="74" spans="1:23" ht="48" customHeight="1">
      <c r="A74" s="46"/>
      <c r="B74" s="537" t="str">
        <f>IF(
  OR(C68="", C69=""),
  "",
  IF(AND(C68&gt;9, C69=5),
     "เป็นข้อมูลส่งผลกระทบด้านความมั่นคงของรัฐและความสงบเรียบร้อยของประชาชน ให้ใช้ประกาศของ กมช. ประกอบการพิจารณาเลือกใช้คลาวด์",
     "จบการประเมิน"
  )
)</f>
        <v/>
      </c>
      <c r="C74" s="538"/>
      <c r="D74" s="538"/>
      <c r="F74" s="99"/>
      <c r="I74" s="285"/>
      <c r="J74" s="285"/>
      <c r="K74" s="285"/>
      <c r="L74" s="285"/>
      <c r="M74" s="285"/>
      <c r="N74" s="285"/>
      <c r="O74" s="285"/>
      <c r="P74" s="285"/>
      <c r="Q74" s="285"/>
      <c r="R74" s="285"/>
      <c r="S74" s="285"/>
      <c r="T74" s="285"/>
      <c r="U74" s="285"/>
      <c r="V74" s="285"/>
      <c r="W74" s="285"/>
    </row>
    <row r="75" spans="1:23" ht="48.6" customHeight="1">
      <c r="A75" s="46"/>
      <c r="B75" s="72" t="s">
        <v>144</v>
      </c>
      <c r="C75" s="72" t="s">
        <v>30</v>
      </c>
      <c r="D75" s="273" t="str">
        <f>IF(ISNUMBER(SEARCH("ระดับชั้นข้อมูล",C75)),"การจำแนกประเภทข้อมูล","")</f>
        <v>การจำแนกประเภทข้อมูล</v>
      </c>
      <c r="E75" s="100"/>
      <c r="F75" s="99"/>
      <c r="I75" s="285"/>
      <c r="J75" s="285"/>
      <c r="K75" s="285"/>
      <c r="L75" s="285"/>
      <c r="M75" s="285"/>
      <c r="N75" s="285"/>
      <c r="O75" s="285"/>
      <c r="P75" s="285"/>
      <c r="Q75" s="285"/>
      <c r="R75" s="285"/>
      <c r="S75" s="285"/>
      <c r="T75" s="285"/>
      <c r="U75" s="285"/>
      <c r="V75" s="285"/>
      <c r="W75" s="285"/>
    </row>
    <row r="76" spans="1:23" ht="48" customHeight="1">
      <c r="A76" s="46"/>
      <c r="B76" s="59" t="str" cm="1">
        <f t="array" ref="B76">_xlfn.IFS(
    VALUE(D9)=5, "ข้อมูลความมั่นคง",
    AND(VALUE(D9)=1, VALUE(D10)=5, VALUE(G10)=5), "ข้อมูลความมั่นคง",
    AND(VALUE(D9)=1, VALUE(D10)=5, VALUE(G10)=1), "ข้อมูลความลับทางราชการ",
    AND(VALUE(D9)=1, VALUE(D10)=1, VALUE(D11)=2), "ข้อมูลความลับทางราชการ",
    AND(VALUE(D9)=1, VALUE(D10)=1, VALUE(D11)=1, VALUE(D12)=2), "ข้อมูลส่วนบุคคล",
    AND(VALUE(D9)=1, VALUE(D10)=1, VALUE(D11)=1, VALUE(D12)=1, VALUE(D13)=2), "ข้อมูลใช้ภายในองค์กร",
    AND(VALUE(D9)=1, VALUE(D10)=1, VALUE(D11)=1, VALUE(D12)=1, VALUE(D13)=1, VALUE(D14)=2), "ข้อมูลใช้ภายในองค์กร",
    AND(VALUE(D9)=1, VALUE(D10)=1, VALUE(D11)=1, VALUE(D12)=1, VALUE(D13)=1, VALUE(D14)=1), "ข้อมูลสาธารณะ",
    TRUE, ""
)</f>
        <v/>
      </c>
      <c r="C76" s="226" t="str" cm="1">
        <f t="array" ref="C76">_xlfn.IFS(
    OR(TRIM(C68)="", TRIM(C69)=""), "",
    AND(VALUE(TRIM(C68))&lt;5, VALUE(TRIM(C70))=5), "ลับ",
    AND(VALUE(TRIM(C68))&gt;9, VALUE(TRIM(C69))=5), "ลับที่สุด",
    AND(VALUE(TRIM(C68))&gt;9, VALUE(TRIM(C69))=1), "ลับมาก",
    VALUE(TRIM(C68))&lt;=2, "เปิดเผย",
    VALUE(TRIM(C68))&lt;=4, "เผยแพร่ภายในองค์กร",
    VALUE(TRIM(C68))&lt;=6, "ลับ",
    AND(VALUE(TRIM(C68))&gt;=7, VALUE(TRIM(C68))&lt;=9), "ลับมาก",
    TRUE, ""
)</f>
        <v/>
      </c>
      <c r="D76" s="59" t="str">
        <f>IF(TRIM(C76)="ลับที่สุด","Highly Protected Data",
IF(OR(ISNUMBER(SEARCH("ลับมาก",C76)),ISNUMBER(SEARCH("ลับ",C76))),"Protected Data",
IF(OR(ISNUMBER(SEARCH("เปิดเผย",C76)),ISNUMBER(SEARCH("เผยแพร่ภายในองค์กร",C76))),"Official Data","")))</f>
        <v/>
      </c>
      <c r="E76" s="100"/>
      <c r="F76" s="99"/>
      <c r="I76" s="285"/>
      <c r="J76" s="285"/>
      <c r="K76" s="285"/>
      <c r="L76" s="285"/>
      <c r="M76" s="285"/>
      <c r="N76" s="285"/>
      <c r="O76" s="285"/>
      <c r="P76" s="285"/>
      <c r="Q76" s="285"/>
      <c r="R76" s="285"/>
      <c r="S76" s="285"/>
      <c r="T76" s="285"/>
      <c r="U76" s="285"/>
      <c r="V76" s="285"/>
      <c r="W76" s="285"/>
    </row>
    <row r="77" spans="1:23" ht="30">
      <c r="A77" s="46"/>
      <c r="B77" s="535" t="str">
        <f>IF(
  LEN(TRIM(B74))=0,
  "",
  IF(
    ISNUMBER(SEARCH("จบ", TRIM(CLEAN(B74)))),
    "",
    IF(
      ISNUMBER(SEARCH("ลับที่สุด", TRIM(CLEAN(C76)))),
      "จบการประเมิน",
      ""
    )
  )
)</f>
        <v/>
      </c>
      <c r="C77" s="536"/>
      <c r="D77" s="536"/>
      <c r="E77" s="304"/>
      <c r="F77" s="304"/>
      <c r="I77" s="285"/>
      <c r="J77" s="285"/>
      <c r="K77" s="285"/>
      <c r="L77" s="285"/>
      <c r="M77" s="285"/>
      <c r="N77" s="285"/>
      <c r="O77" s="285"/>
      <c r="P77" s="285"/>
      <c r="Q77" s="285"/>
      <c r="R77" s="285"/>
      <c r="S77" s="285"/>
      <c r="T77" s="285"/>
      <c r="U77" s="285"/>
      <c r="V77" s="285"/>
      <c r="W77" s="285"/>
    </row>
    <row r="78" spans="1:23">
      <c r="A78" s="46"/>
      <c r="I78" s="285"/>
      <c r="J78" s="285"/>
      <c r="K78" s="285"/>
      <c r="L78" s="285"/>
      <c r="M78" s="285"/>
      <c r="N78" s="285"/>
      <c r="O78" s="285"/>
      <c r="P78" s="285"/>
      <c r="Q78" s="285"/>
      <c r="R78" s="285"/>
      <c r="S78" s="285"/>
      <c r="T78" s="285"/>
      <c r="U78" s="285"/>
      <c r="V78" s="285"/>
      <c r="W78" s="285"/>
    </row>
    <row r="79" spans="1:23">
      <c r="A79" s="46"/>
      <c r="I79" s="285"/>
      <c r="J79" s="285"/>
      <c r="K79" s="285"/>
      <c r="L79" s="285"/>
      <c r="M79" s="285"/>
      <c r="N79" s="285"/>
      <c r="O79" s="285"/>
      <c r="P79" s="285"/>
      <c r="Q79" s="285"/>
      <c r="R79" s="285"/>
      <c r="S79" s="285"/>
      <c r="T79" s="285"/>
      <c r="U79" s="285"/>
      <c r="V79" s="285"/>
      <c r="W79" s="285"/>
    </row>
    <row r="80" spans="1:23">
      <c r="A80" s="46"/>
      <c r="I80" s="285"/>
      <c r="J80" s="285"/>
      <c r="K80" s="285"/>
      <c r="L80" s="285"/>
      <c r="M80" s="285"/>
      <c r="N80" s="285"/>
      <c r="O80" s="285"/>
      <c r="P80" s="285"/>
      <c r="Q80" s="285"/>
      <c r="R80" s="285"/>
      <c r="S80" s="285"/>
      <c r="T80" s="285"/>
      <c r="U80" s="285"/>
      <c r="V80" s="285"/>
      <c r="W80" s="285"/>
    </row>
    <row r="81" spans="1:23">
      <c r="A81" s="46"/>
      <c r="I81" s="285"/>
      <c r="J81" s="285"/>
      <c r="K81" s="285"/>
      <c r="L81" s="285"/>
      <c r="M81" s="285"/>
      <c r="N81" s="285"/>
      <c r="O81" s="285"/>
      <c r="P81" s="285"/>
      <c r="Q81" s="285"/>
      <c r="R81" s="285"/>
      <c r="S81" s="285"/>
      <c r="T81" s="285"/>
      <c r="U81" s="285"/>
      <c r="V81" s="285"/>
      <c r="W81" s="285"/>
    </row>
    <row r="82" spans="1:23">
      <c r="F82"/>
      <c r="I82" s="285"/>
      <c r="J82" s="285"/>
      <c r="K82" s="285"/>
      <c r="L82" s="285"/>
      <c r="M82" s="285"/>
      <c r="N82" s="285"/>
      <c r="O82" s="285"/>
      <c r="P82" s="285"/>
      <c r="Q82" s="285"/>
      <c r="R82" s="285"/>
      <c r="S82" s="285"/>
      <c r="T82" s="285"/>
      <c r="U82" s="285"/>
      <c r="V82" s="285"/>
      <c r="W82" s="285"/>
    </row>
    <row r="83" spans="1:23">
      <c r="A83" s="285"/>
      <c r="B83" s="285"/>
      <c r="C83" s="285"/>
      <c r="D83" s="285"/>
      <c r="E83" s="285"/>
      <c r="F83" s="285"/>
      <c r="G83" s="285"/>
      <c r="H83" s="285"/>
      <c r="I83" s="285"/>
      <c r="J83" s="285"/>
      <c r="K83" s="285"/>
      <c r="L83" s="285"/>
      <c r="M83" s="285"/>
      <c r="N83" s="285"/>
      <c r="O83" s="285"/>
      <c r="P83" s="285"/>
      <c r="Q83" s="285"/>
      <c r="R83" s="285"/>
      <c r="S83" s="285"/>
      <c r="T83" s="285"/>
      <c r="U83" s="285"/>
      <c r="V83" s="285"/>
      <c r="W83" s="285"/>
    </row>
    <row r="84" spans="1:23">
      <c r="A84" s="285"/>
      <c r="B84" s="285"/>
      <c r="C84" s="285"/>
      <c r="D84" s="285"/>
      <c r="E84" s="285"/>
      <c r="F84" s="285"/>
      <c r="G84" s="285"/>
      <c r="H84" s="285"/>
      <c r="I84" s="285"/>
      <c r="J84" s="285"/>
      <c r="K84" s="285"/>
      <c r="L84" s="285"/>
      <c r="M84" s="285"/>
      <c r="N84" s="285"/>
      <c r="O84" s="285"/>
      <c r="P84" s="285"/>
      <c r="Q84" s="285"/>
      <c r="R84" s="285"/>
      <c r="S84" s="285"/>
      <c r="T84" s="285"/>
      <c r="U84" s="285"/>
      <c r="V84" s="285"/>
      <c r="W84" s="285"/>
    </row>
    <row r="85" spans="1:23">
      <c r="A85" s="285"/>
      <c r="B85" s="285"/>
      <c r="C85" s="285"/>
      <c r="D85" s="285"/>
      <c r="E85" s="285"/>
      <c r="F85" s="285"/>
      <c r="G85" s="285"/>
      <c r="H85" s="285"/>
      <c r="I85" s="285"/>
      <c r="J85" s="285"/>
      <c r="K85" s="285"/>
      <c r="L85" s="285"/>
      <c r="M85" s="285"/>
      <c r="N85" s="285"/>
      <c r="O85" s="285"/>
      <c r="P85" s="285"/>
      <c r="Q85" s="285"/>
      <c r="R85" s="285"/>
      <c r="S85" s="285"/>
      <c r="T85" s="285"/>
      <c r="U85" s="285"/>
      <c r="V85" s="285"/>
      <c r="W85" s="285"/>
    </row>
    <row r="86" spans="1:23">
      <c r="A86" s="285"/>
      <c r="B86" s="285"/>
      <c r="C86" s="285"/>
      <c r="D86" s="285"/>
      <c r="E86" s="285"/>
      <c r="F86" s="285"/>
      <c r="G86" s="285"/>
      <c r="H86" s="285"/>
      <c r="I86" s="285"/>
      <c r="J86" s="285"/>
      <c r="K86" s="285"/>
      <c r="L86" s="285"/>
      <c r="M86" s="285"/>
      <c r="N86" s="285"/>
      <c r="O86" s="285"/>
      <c r="P86" s="285"/>
      <c r="Q86" s="285"/>
      <c r="R86" s="285"/>
      <c r="S86" s="285"/>
      <c r="T86" s="285"/>
      <c r="U86" s="285"/>
      <c r="V86" s="285"/>
      <c r="W86" s="285"/>
    </row>
    <row r="87" spans="1:23">
      <c r="A87" s="285"/>
      <c r="B87" s="285"/>
      <c r="C87" s="285"/>
      <c r="D87" s="285"/>
      <c r="E87" s="285"/>
      <c r="F87" s="285"/>
      <c r="G87" s="285"/>
      <c r="H87" s="285"/>
      <c r="I87" s="285"/>
      <c r="J87" s="285"/>
      <c r="K87" s="285"/>
      <c r="L87" s="285"/>
      <c r="M87" s="285"/>
      <c r="N87" s="285"/>
      <c r="O87" s="285"/>
      <c r="P87" s="285"/>
      <c r="Q87" s="285"/>
      <c r="R87" s="285"/>
      <c r="S87" s="285"/>
      <c r="T87" s="285"/>
      <c r="U87" s="285"/>
      <c r="V87" s="285"/>
      <c r="W87" s="285"/>
    </row>
    <row r="88" spans="1:23">
      <c r="A88" s="285"/>
      <c r="B88" s="285"/>
      <c r="C88" s="285"/>
      <c r="D88" s="285"/>
      <c r="E88" s="285"/>
      <c r="F88" s="285"/>
      <c r="G88" s="285"/>
      <c r="H88" s="285"/>
      <c r="I88" s="285"/>
      <c r="J88" s="285"/>
      <c r="K88" s="285"/>
      <c r="L88" s="285"/>
      <c r="M88" s="285"/>
      <c r="N88" s="285"/>
      <c r="O88" s="285"/>
      <c r="P88" s="285"/>
      <c r="Q88" s="285"/>
      <c r="R88" s="285"/>
      <c r="S88" s="285"/>
      <c r="T88" s="285"/>
      <c r="U88" s="285"/>
      <c r="V88" s="285"/>
      <c r="W88" s="285"/>
    </row>
    <row r="89" spans="1:23">
      <c r="A89" s="285"/>
      <c r="B89" s="285"/>
      <c r="C89" s="285"/>
      <c r="D89" s="285"/>
      <c r="E89" s="285"/>
      <c r="F89" s="285"/>
      <c r="G89" s="285"/>
      <c r="H89" s="285"/>
      <c r="I89" s="285"/>
      <c r="J89" s="285"/>
      <c r="K89" s="285"/>
      <c r="L89" s="285"/>
      <c r="M89" s="285"/>
      <c r="N89" s="285"/>
      <c r="O89" s="285"/>
      <c r="P89" s="285"/>
      <c r="Q89" s="285"/>
      <c r="R89" s="285"/>
      <c r="S89" s="285"/>
      <c r="T89" s="285"/>
      <c r="U89" s="285"/>
      <c r="V89" s="285"/>
      <c r="W89" s="285"/>
    </row>
    <row r="90" spans="1:23">
      <c r="A90" s="285"/>
      <c r="B90" s="285"/>
      <c r="C90" s="285"/>
      <c r="D90" s="285"/>
      <c r="E90" s="285"/>
      <c r="F90" s="285"/>
      <c r="G90" s="285"/>
      <c r="H90" s="285"/>
      <c r="I90" s="285"/>
      <c r="J90" s="285"/>
      <c r="K90" s="285"/>
      <c r="L90" s="285"/>
      <c r="M90" s="285"/>
      <c r="N90" s="285"/>
      <c r="O90" s="285"/>
      <c r="P90" s="285"/>
      <c r="Q90" s="285"/>
      <c r="R90" s="285"/>
      <c r="S90" s="285"/>
      <c r="T90" s="285"/>
      <c r="U90" s="285"/>
      <c r="V90" s="285"/>
      <c r="W90" s="285"/>
    </row>
    <row r="91" spans="1:23">
      <c r="A91" s="285"/>
      <c r="B91" s="285"/>
      <c r="C91" s="285"/>
      <c r="D91" s="285"/>
      <c r="E91" s="285"/>
      <c r="F91" s="285"/>
      <c r="G91" s="285"/>
      <c r="H91" s="285"/>
      <c r="I91" s="285"/>
      <c r="J91" s="285"/>
      <c r="K91" s="285"/>
      <c r="L91" s="285"/>
      <c r="M91" s="285"/>
      <c r="N91" s="285"/>
      <c r="O91" s="285"/>
      <c r="P91" s="285"/>
      <c r="Q91" s="285"/>
      <c r="R91" s="285"/>
      <c r="S91" s="285"/>
      <c r="T91" s="285"/>
      <c r="U91" s="285"/>
      <c r="V91" s="285"/>
      <c r="W91" s="285"/>
    </row>
    <row r="92" spans="1:23">
      <c r="A92" s="285"/>
      <c r="B92" s="285"/>
      <c r="C92" s="285"/>
      <c r="D92" s="285"/>
      <c r="E92" s="285"/>
      <c r="F92" s="285"/>
      <c r="G92" s="285"/>
      <c r="H92" s="285"/>
      <c r="I92" s="285"/>
      <c r="J92" s="285"/>
      <c r="K92" s="285"/>
      <c r="L92" s="285"/>
      <c r="M92" s="285"/>
      <c r="N92" s="285"/>
      <c r="O92" s="285"/>
      <c r="P92" s="285"/>
      <c r="Q92" s="285"/>
      <c r="R92" s="285"/>
      <c r="S92" s="285"/>
      <c r="T92" s="285"/>
      <c r="U92" s="285"/>
      <c r="V92" s="285"/>
      <c r="W92" s="285"/>
    </row>
    <row r="93" spans="1:23">
      <c r="A93" s="285"/>
      <c r="B93" s="285"/>
      <c r="C93" s="285"/>
      <c r="D93" s="285"/>
      <c r="E93" s="285"/>
      <c r="F93" s="285"/>
      <c r="G93" s="285"/>
      <c r="H93" s="285"/>
      <c r="I93" s="285"/>
      <c r="J93" s="285"/>
      <c r="K93" s="285"/>
      <c r="L93" s="285"/>
      <c r="M93" s="285"/>
      <c r="N93" s="285"/>
      <c r="O93" s="285"/>
      <c r="P93" s="285"/>
      <c r="Q93" s="285"/>
      <c r="R93" s="285"/>
      <c r="S93" s="285"/>
      <c r="T93" s="285"/>
      <c r="U93" s="285"/>
      <c r="V93" s="285"/>
      <c r="W93" s="285"/>
    </row>
    <row r="94" spans="1:23">
      <c r="A94" s="285"/>
      <c r="B94" s="285"/>
      <c r="C94" s="285"/>
      <c r="D94" s="285"/>
      <c r="E94" s="285"/>
      <c r="F94" s="285"/>
      <c r="G94" s="285"/>
      <c r="H94" s="285"/>
      <c r="I94" s="285"/>
      <c r="J94" s="285"/>
      <c r="K94" s="285"/>
      <c r="L94" s="285"/>
      <c r="M94" s="285"/>
      <c r="N94" s="285"/>
      <c r="O94" s="285"/>
      <c r="P94" s="285"/>
      <c r="Q94" s="285"/>
      <c r="R94" s="285"/>
      <c r="S94" s="285"/>
      <c r="T94" s="285"/>
      <c r="U94" s="285"/>
      <c r="V94" s="285"/>
      <c r="W94" s="285"/>
    </row>
    <row r="95" spans="1:23">
      <c r="A95" s="285"/>
      <c r="B95" s="285"/>
      <c r="C95" s="285"/>
      <c r="D95" s="285"/>
      <c r="E95" s="285"/>
      <c r="F95" s="285"/>
      <c r="G95" s="285"/>
      <c r="H95" s="285"/>
      <c r="I95" s="285"/>
      <c r="J95" s="285"/>
      <c r="K95" s="285"/>
      <c r="L95" s="285"/>
      <c r="M95" s="285"/>
      <c r="N95" s="285"/>
      <c r="O95" s="285"/>
      <c r="P95" s="285"/>
      <c r="Q95" s="285"/>
      <c r="R95" s="285"/>
      <c r="S95" s="285"/>
      <c r="T95" s="285"/>
      <c r="U95" s="285"/>
      <c r="V95" s="285"/>
      <c r="W95" s="285"/>
    </row>
    <row r="96" spans="1:23">
      <c r="A96" s="285"/>
      <c r="B96" s="285"/>
      <c r="C96" s="285"/>
      <c r="D96" s="285"/>
      <c r="E96" s="285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</row>
    <row r="97" spans="1:23">
      <c r="A97" s="285"/>
      <c r="B97" s="285"/>
      <c r="C97" s="285"/>
      <c r="D97" s="285"/>
      <c r="E97" s="285"/>
      <c r="F97" s="285"/>
      <c r="G97" s="285"/>
      <c r="H97" s="285"/>
      <c r="I97" s="285"/>
      <c r="J97" s="285"/>
      <c r="K97" s="285"/>
      <c r="L97" s="285"/>
      <c r="M97" s="285"/>
      <c r="N97" s="285"/>
      <c r="O97" s="285"/>
      <c r="P97" s="285"/>
      <c r="Q97" s="285"/>
      <c r="R97" s="285"/>
      <c r="S97" s="285"/>
      <c r="T97" s="285"/>
      <c r="U97" s="285"/>
      <c r="V97" s="285"/>
      <c r="W97" s="285"/>
    </row>
    <row r="98" spans="1:23">
      <c r="A98" s="285"/>
      <c r="B98" s="285"/>
      <c r="C98" s="285"/>
      <c r="D98" s="285"/>
      <c r="E98" s="285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</row>
    <row r="99" spans="1:23">
      <c r="A99" s="285"/>
      <c r="B99" s="285"/>
      <c r="C99" s="285"/>
      <c r="D99" s="285"/>
      <c r="E99" s="285"/>
      <c r="F99" s="285"/>
      <c r="G99" s="285"/>
      <c r="H99" s="285"/>
      <c r="I99" s="285"/>
      <c r="J99" s="285"/>
      <c r="K99" s="285"/>
      <c r="L99" s="285"/>
      <c r="M99" s="285"/>
      <c r="N99" s="285"/>
      <c r="O99" s="285"/>
      <c r="P99" s="285"/>
      <c r="Q99" s="285"/>
      <c r="R99" s="285"/>
      <c r="S99" s="285"/>
      <c r="T99" s="285"/>
      <c r="U99" s="285"/>
      <c r="V99" s="285"/>
      <c r="W99" s="285"/>
    </row>
    <row r="100" spans="1:23">
      <c r="A100" s="285"/>
      <c r="B100" s="285"/>
      <c r="C100" s="285"/>
      <c r="D100" s="285"/>
      <c r="E100" s="285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</row>
    <row r="101" spans="1:23">
      <c r="A101" s="285"/>
      <c r="B101" s="285"/>
      <c r="C101" s="285"/>
      <c r="D101" s="285"/>
      <c r="E101" s="285"/>
      <c r="F101" s="285"/>
      <c r="G101" s="285"/>
      <c r="H101" s="285"/>
      <c r="I101" s="285"/>
      <c r="J101" s="285"/>
      <c r="K101" s="285"/>
      <c r="L101" s="285"/>
      <c r="M101" s="285"/>
      <c r="N101" s="285"/>
      <c r="O101" s="285"/>
      <c r="P101" s="285"/>
      <c r="Q101" s="285"/>
      <c r="R101" s="285"/>
      <c r="S101" s="285"/>
      <c r="T101" s="285"/>
      <c r="U101" s="285"/>
      <c r="V101" s="285"/>
      <c r="W101" s="285"/>
    </row>
    <row r="102" spans="1:23">
      <c r="A102" s="285"/>
      <c r="B102" s="285"/>
      <c r="C102" s="285"/>
      <c r="D102" s="285"/>
      <c r="E102" s="285"/>
      <c r="F102" s="285"/>
      <c r="G102" s="285"/>
      <c r="H102" s="285"/>
      <c r="I102" s="285"/>
      <c r="J102" s="285"/>
      <c r="K102" s="285"/>
      <c r="L102" s="285"/>
      <c r="M102" s="285"/>
      <c r="N102" s="285"/>
      <c r="O102" s="285"/>
      <c r="P102" s="285"/>
      <c r="Q102" s="285"/>
      <c r="R102" s="285"/>
      <c r="S102" s="285"/>
      <c r="T102" s="285"/>
      <c r="U102" s="285"/>
      <c r="V102" s="285"/>
      <c r="W102" s="285"/>
    </row>
    <row r="103" spans="1:23">
      <c r="A103" s="285"/>
      <c r="B103" s="285"/>
      <c r="C103" s="285"/>
      <c r="D103" s="285"/>
      <c r="E103" s="285"/>
      <c r="F103" s="285"/>
      <c r="G103" s="285"/>
      <c r="H103" s="285"/>
      <c r="I103" s="285"/>
      <c r="J103" s="285"/>
      <c r="K103" s="285"/>
      <c r="L103" s="285"/>
      <c r="M103" s="285"/>
      <c r="N103" s="285"/>
      <c r="O103" s="285"/>
      <c r="P103" s="285"/>
      <c r="Q103" s="285"/>
      <c r="R103" s="285"/>
      <c r="S103" s="285"/>
      <c r="T103" s="285"/>
      <c r="U103" s="285"/>
      <c r="V103" s="285"/>
      <c r="W103" s="285"/>
    </row>
    <row r="104" spans="1:23">
      <c r="A104" s="285"/>
      <c r="B104" s="285"/>
      <c r="C104" s="285"/>
      <c r="D104" s="285"/>
      <c r="E104" s="285"/>
      <c r="F104" s="285"/>
      <c r="G104" s="285"/>
      <c r="H104" s="285"/>
      <c r="I104" s="285"/>
      <c r="J104" s="285"/>
      <c r="K104" s="285"/>
      <c r="L104" s="285"/>
      <c r="M104" s="285"/>
      <c r="N104" s="285"/>
      <c r="O104" s="285"/>
      <c r="P104" s="285"/>
      <c r="Q104" s="285"/>
      <c r="R104" s="285"/>
      <c r="S104" s="285"/>
      <c r="T104" s="285"/>
      <c r="U104" s="285"/>
      <c r="V104" s="285"/>
      <c r="W104" s="285"/>
    </row>
    <row r="105" spans="1:23">
      <c r="A105" s="285"/>
      <c r="B105" s="285"/>
      <c r="C105" s="285"/>
      <c r="D105" s="285"/>
      <c r="E105" s="285"/>
      <c r="F105" s="285"/>
      <c r="G105" s="285"/>
      <c r="H105" s="285"/>
      <c r="I105" s="285"/>
      <c r="J105" s="285"/>
      <c r="K105" s="285"/>
      <c r="L105" s="285"/>
      <c r="M105" s="285"/>
      <c r="N105" s="285"/>
      <c r="O105" s="285"/>
      <c r="P105" s="285"/>
      <c r="Q105" s="285"/>
      <c r="R105" s="285"/>
      <c r="S105" s="285"/>
      <c r="T105" s="285"/>
      <c r="U105" s="285"/>
      <c r="V105" s="285"/>
      <c r="W105" s="285"/>
    </row>
    <row r="106" spans="1:23">
      <c r="A106" s="285"/>
      <c r="B106" s="285"/>
      <c r="C106" s="285"/>
      <c r="D106" s="285"/>
      <c r="E106" s="285"/>
      <c r="F106" s="285"/>
      <c r="G106" s="285"/>
      <c r="H106" s="285"/>
      <c r="I106" s="285"/>
      <c r="J106" s="285"/>
      <c r="K106" s="285"/>
      <c r="L106" s="285"/>
      <c r="M106" s="285"/>
      <c r="N106" s="285"/>
      <c r="O106" s="285"/>
      <c r="P106" s="285"/>
      <c r="Q106" s="285"/>
      <c r="R106" s="285"/>
      <c r="S106" s="285"/>
      <c r="T106" s="285"/>
      <c r="U106" s="285"/>
      <c r="V106" s="285"/>
      <c r="W106" s="285"/>
    </row>
    <row r="107" spans="1:23">
      <c r="A107" s="285"/>
      <c r="B107" s="285"/>
      <c r="C107" s="285"/>
      <c r="D107" s="285"/>
      <c r="E107" s="285"/>
      <c r="F107" s="285"/>
      <c r="G107" s="285"/>
      <c r="H107" s="285"/>
      <c r="I107" s="285"/>
      <c r="J107" s="285"/>
      <c r="K107" s="285"/>
      <c r="L107" s="285"/>
      <c r="M107" s="285"/>
      <c r="N107" s="285"/>
      <c r="O107" s="285"/>
      <c r="P107" s="285"/>
      <c r="Q107" s="285"/>
      <c r="R107" s="285"/>
      <c r="S107" s="285"/>
      <c r="T107" s="285"/>
      <c r="U107" s="285"/>
      <c r="V107" s="285"/>
      <c r="W107" s="285"/>
    </row>
    <row r="108" spans="1:23">
      <c r="A108" s="285"/>
      <c r="B108" s="285"/>
      <c r="C108" s="285"/>
      <c r="D108" s="285"/>
      <c r="E108" s="285"/>
      <c r="F108" s="285"/>
      <c r="G108" s="285"/>
      <c r="H108" s="285"/>
      <c r="I108" s="285"/>
      <c r="J108" s="285"/>
      <c r="K108" s="285"/>
      <c r="L108" s="285"/>
      <c r="M108" s="285"/>
      <c r="N108" s="285"/>
      <c r="O108" s="285"/>
      <c r="P108" s="285"/>
      <c r="Q108" s="285"/>
      <c r="R108" s="285"/>
      <c r="S108" s="285"/>
      <c r="T108" s="285"/>
      <c r="U108" s="285"/>
      <c r="V108" s="285"/>
      <c r="W108" s="285"/>
    </row>
    <row r="109" spans="1:23">
      <c r="A109" s="285"/>
      <c r="B109" s="285"/>
      <c r="C109" s="285"/>
      <c r="D109" s="285"/>
      <c r="E109" s="285"/>
      <c r="F109" s="285"/>
      <c r="G109" s="285"/>
      <c r="H109" s="285"/>
      <c r="I109" s="285"/>
      <c r="J109" s="285"/>
      <c r="K109" s="285"/>
      <c r="L109" s="285"/>
      <c r="M109" s="285"/>
      <c r="N109" s="285"/>
      <c r="O109" s="285"/>
      <c r="P109" s="285"/>
      <c r="Q109" s="285"/>
      <c r="R109" s="285"/>
      <c r="S109" s="285"/>
      <c r="T109" s="285"/>
      <c r="U109" s="285"/>
      <c r="V109" s="285"/>
      <c r="W109" s="285"/>
    </row>
    <row r="110" spans="1:23">
      <c r="A110" s="285"/>
      <c r="B110" s="285"/>
      <c r="C110" s="285"/>
      <c r="D110" s="285"/>
      <c r="E110" s="285"/>
      <c r="F110" s="285"/>
      <c r="G110" s="285"/>
      <c r="H110" s="285"/>
      <c r="I110" s="285"/>
      <c r="J110" s="285"/>
      <c r="K110" s="285"/>
      <c r="L110" s="285"/>
      <c r="M110" s="285"/>
      <c r="N110" s="285"/>
      <c r="O110" s="285"/>
      <c r="P110" s="285"/>
      <c r="Q110" s="285"/>
      <c r="R110" s="285"/>
      <c r="S110" s="285"/>
      <c r="T110" s="285"/>
      <c r="U110" s="285"/>
      <c r="V110" s="285"/>
      <c r="W110" s="285"/>
    </row>
    <row r="111" spans="1:23">
      <c r="A111" s="285"/>
      <c r="B111" s="285"/>
      <c r="C111" s="285"/>
      <c r="D111" s="285"/>
      <c r="E111" s="285"/>
      <c r="F111" s="285"/>
      <c r="G111" s="285"/>
      <c r="H111" s="285"/>
      <c r="I111" s="285"/>
      <c r="J111" s="285"/>
      <c r="K111" s="285"/>
      <c r="L111" s="285"/>
      <c r="M111" s="285"/>
      <c r="N111" s="285"/>
      <c r="O111" s="285"/>
      <c r="P111" s="285"/>
      <c r="Q111" s="285"/>
      <c r="R111" s="285"/>
      <c r="S111" s="285"/>
      <c r="T111" s="285"/>
      <c r="U111" s="285"/>
      <c r="V111" s="285"/>
      <c r="W111" s="285"/>
    </row>
    <row r="112" spans="1:23">
      <c r="A112" s="285"/>
      <c r="B112" s="285"/>
      <c r="C112" s="285"/>
      <c r="D112" s="285"/>
      <c r="E112" s="285"/>
      <c r="F112" s="285"/>
      <c r="G112" s="285"/>
      <c r="H112" s="285"/>
      <c r="I112" s="285"/>
      <c r="J112" s="285"/>
      <c r="K112" s="285"/>
      <c r="L112" s="285"/>
      <c r="M112" s="285"/>
      <c r="N112" s="285"/>
      <c r="O112" s="285"/>
      <c r="P112" s="285"/>
      <c r="Q112" s="285"/>
      <c r="R112" s="285"/>
      <c r="S112" s="285"/>
      <c r="T112" s="285"/>
      <c r="U112" s="285"/>
      <c r="V112" s="285"/>
      <c r="W112" s="285"/>
    </row>
    <row r="113" spans="1:23">
      <c r="A113" s="285"/>
      <c r="B113" s="285"/>
      <c r="C113" s="285"/>
      <c r="D113" s="285"/>
      <c r="E113" s="285"/>
      <c r="F113" s="285"/>
      <c r="G113" s="285"/>
      <c r="H113" s="285"/>
      <c r="I113" s="285"/>
      <c r="J113" s="285"/>
      <c r="K113" s="285"/>
      <c r="L113" s="285"/>
      <c r="M113" s="285"/>
      <c r="N113" s="285"/>
      <c r="O113" s="285"/>
      <c r="P113" s="285"/>
      <c r="Q113" s="285"/>
      <c r="R113" s="285"/>
      <c r="S113" s="285"/>
      <c r="T113" s="285"/>
      <c r="U113" s="285"/>
      <c r="V113" s="285"/>
      <c r="W113" s="285"/>
    </row>
    <row r="114" spans="1:23">
      <c r="A114" s="285"/>
      <c r="B114" s="285"/>
      <c r="C114" s="285"/>
      <c r="D114" s="285"/>
      <c r="E114" s="285"/>
      <c r="F114" s="285"/>
      <c r="G114" s="285"/>
      <c r="H114" s="285"/>
      <c r="I114" s="285"/>
      <c r="J114" s="285"/>
      <c r="K114" s="285"/>
      <c r="L114" s="285"/>
      <c r="M114" s="285"/>
      <c r="N114" s="285"/>
      <c r="O114" s="285"/>
      <c r="P114" s="285"/>
      <c r="Q114" s="285"/>
      <c r="R114" s="285"/>
      <c r="S114" s="285"/>
      <c r="T114" s="285"/>
      <c r="U114" s="285"/>
      <c r="V114" s="285"/>
      <c r="W114" s="285"/>
    </row>
    <row r="115" spans="1:23">
      <c r="A115" s="285"/>
      <c r="B115" s="285"/>
      <c r="C115" s="285"/>
      <c r="D115" s="285"/>
      <c r="E115" s="285"/>
      <c r="F115" s="285"/>
      <c r="G115" s="285"/>
      <c r="H115" s="285"/>
      <c r="I115" s="285"/>
      <c r="J115" s="285"/>
      <c r="K115" s="285"/>
      <c r="L115" s="285"/>
      <c r="M115" s="285"/>
      <c r="N115" s="285"/>
      <c r="O115" s="285"/>
      <c r="P115" s="285"/>
      <c r="Q115" s="285"/>
      <c r="R115" s="285"/>
      <c r="S115" s="285"/>
      <c r="T115" s="285"/>
      <c r="U115" s="285"/>
      <c r="V115" s="285"/>
      <c r="W115" s="285"/>
    </row>
    <row r="116" spans="1:23">
      <c r="A116" s="285"/>
      <c r="B116" s="285"/>
      <c r="C116" s="285"/>
      <c r="D116" s="285"/>
      <c r="E116" s="285"/>
      <c r="F116" s="285"/>
      <c r="G116" s="285"/>
      <c r="H116" s="285"/>
      <c r="I116" s="285"/>
      <c r="J116" s="285"/>
      <c r="K116" s="285"/>
      <c r="L116" s="285"/>
      <c r="M116" s="285"/>
      <c r="N116" s="285"/>
      <c r="O116" s="285"/>
      <c r="P116" s="285"/>
      <c r="Q116" s="285"/>
      <c r="R116" s="285"/>
      <c r="S116" s="285"/>
      <c r="T116" s="285"/>
      <c r="U116" s="285"/>
      <c r="V116" s="285"/>
      <c r="W116" s="285"/>
    </row>
    <row r="117" spans="1:23">
      <c r="A117" s="285"/>
      <c r="B117" s="285"/>
      <c r="C117" s="285"/>
      <c r="D117" s="285"/>
      <c r="E117" s="285"/>
      <c r="F117" s="285"/>
      <c r="G117" s="285"/>
      <c r="H117" s="285"/>
      <c r="I117" s="285"/>
      <c r="J117" s="285"/>
      <c r="K117" s="285"/>
      <c r="L117" s="285"/>
      <c r="M117" s="285"/>
      <c r="N117" s="285"/>
      <c r="O117" s="285"/>
      <c r="P117" s="285"/>
      <c r="Q117" s="285"/>
      <c r="R117" s="285"/>
      <c r="S117" s="285"/>
      <c r="T117" s="285"/>
      <c r="U117" s="285"/>
      <c r="V117" s="285"/>
      <c r="W117" s="285"/>
    </row>
    <row r="118" spans="1:23">
      <c r="A118" s="285"/>
      <c r="B118" s="285"/>
      <c r="C118" s="285"/>
      <c r="D118" s="285"/>
      <c r="E118" s="285"/>
      <c r="F118" s="285"/>
      <c r="G118" s="285"/>
      <c r="H118" s="285"/>
      <c r="I118" s="285"/>
      <c r="J118" s="285"/>
      <c r="K118" s="285"/>
      <c r="L118" s="285"/>
      <c r="M118" s="285"/>
      <c r="N118" s="285"/>
      <c r="O118" s="285"/>
      <c r="P118" s="285"/>
      <c r="Q118" s="285"/>
      <c r="R118" s="285"/>
      <c r="S118" s="285"/>
      <c r="T118" s="285"/>
      <c r="U118" s="285"/>
      <c r="V118" s="285"/>
      <c r="W118" s="285"/>
    </row>
    <row r="119" spans="1:23">
      <c r="A119" s="285"/>
      <c r="B119" s="285"/>
      <c r="C119" s="285"/>
      <c r="D119" s="285"/>
      <c r="E119" s="285"/>
      <c r="F119" s="285"/>
      <c r="G119" s="285"/>
      <c r="H119" s="285"/>
      <c r="I119" s="285"/>
      <c r="J119" s="285"/>
      <c r="K119" s="285"/>
      <c r="L119" s="285"/>
      <c r="M119" s="285"/>
      <c r="N119" s="285"/>
      <c r="O119" s="285"/>
      <c r="P119" s="285"/>
      <c r="Q119" s="285"/>
      <c r="R119" s="285"/>
      <c r="S119" s="285"/>
      <c r="T119" s="285"/>
      <c r="U119" s="285"/>
      <c r="V119" s="285"/>
      <c r="W119" s="285"/>
    </row>
    <row r="120" spans="1:23">
      <c r="A120" s="285"/>
      <c r="B120" s="285"/>
      <c r="C120" s="285"/>
      <c r="D120" s="285"/>
      <c r="E120" s="285"/>
      <c r="F120" s="285"/>
      <c r="G120" s="285"/>
      <c r="H120" s="285"/>
      <c r="I120" s="285"/>
      <c r="J120" s="285"/>
      <c r="K120" s="285"/>
      <c r="L120" s="285"/>
      <c r="M120" s="285"/>
      <c r="N120" s="285"/>
      <c r="O120" s="285"/>
      <c r="P120" s="285"/>
      <c r="Q120" s="285"/>
      <c r="R120" s="285"/>
      <c r="S120" s="285"/>
      <c r="T120" s="285"/>
      <c r="U120" s="285"/>
      <c r="V120" s="285"/>
      <c r="W120" s="285"/>
    </row>
    <row r="121" spans="1:23">
      <c r="A121" s="285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85"/>
      <c r="N121" s="285"/>
      <c r="O121" s="285"/>
      <c r="P121" s="285"/>
      <c r="Q121" s="285"/>
      <c r="R121" s="285"/>
      <c r="S121" s="285"/>
      <c r="T121" s="285"/>
      <c r="U121" s="285"/>
      <c r="V121" s="285"/>
      <c r="W121" s="285"/>
    </row>
    <row r="122" spans="1:23">
      <c r="A122" s="285"/>
      <c r="B122" s="285"/>
      <c r="C122" s="285"/>
      <c r="D122" s="285"/>
      <c r="E122" s="285"/>
      <c r="F122" s="285"/>
      <c r="G122" s="285"/>
      <c r="H122" s="285"/>
      <c r="I122" s="285"/>
      <c r="J122" s="285"/>
      <c r="K122" s="285"/>
      <c r="L122" s="285"/>
      <c r="M122" s="285"/>
      <c r="N122" s="285"/>
      <c r="O122" s="285"/>
      <c r="P122" s="285"/>
      <c r="Q122" s="285"/>
      <c r="R122" s="285"/>
      <c r="S122" s="285"/>
      <c r="T122" s="285"/>
      <c r="U122" s="285"/>
      <c r="V122" s="285"/>
      <c r="W122" s="285"/>
    </row>
    <row r="123" spans="1:23">
      <c r="A123" s="285"/>
      <c r="B123" s="285"/>
      <c r="C123" s="285"/>
      <c r="D123" s="285"/>
      <c r="E123" s="285"/>
      <c r="F123" s="285"/>
      <c r="G123" s="285"/>
      <c r="H123" s="285"/>
      <c r="I123" s="285"/>
      <c r="J123" s="285"/>
      <c r="K123" s="285"/>
      <c r="L123" s="285"/>
      <c r="M123" s="285"/>
      <c r="N123" s="285"/>
      <c r="O123" s="285"/>
      <c r="P123" s="285"/>
      <c r="Q123" s="285"/>
      <c r="R123" s="285"/>
      <c r="S123" s="285"/>
      <c r="T123" s="285"/>
      <c r="U123" s="285"/>
      <c r="V123" s="285"/>
      <c r="W123" s="285"/>
    </row>
    <row r="124" spans="1:23">
      <c r="A124" s="285"/>
      <c r="B124" s="285"/>
      <c r="C124" s="285"/>
      <c r="D124" s="285"/>
      <c r="E124" s="285"/>
      <c r="F124" s="285"/>
      <c r="G124" s="285"/>
      <c r="H124" s="285"/>
      <c r="I124" s="285"/>
      <c r="J124" s="285"/>
      <c r="K124" s="285"/>
      <c r="L124" s="285"/>
      <c r="M124" s="285"/>
      <c r="N124" s="285"/>
      <c r="O124" s="285"/>
      <c r="P124" s="285"/>
      <c r="Q124" s="285"/>
      <c r="R124" s="285"/>
      <c r="S124" s="285"/>
      <c r="T124" s="285"/>
      <c r="U124" s="285"/>
      <c r="V124" s="285"/>
      <c r="W124" s="285"/>
    </row>
    <row r="125" spans="1:23">
      <c r="A125" s="285"/>
      <c r="B125" s="285"/>
      <c r="C125" s="285"/>
      <c r="D125" s="285"/>
      <c r="E125" s="285"/>
      <c r="F125" s="285"/>
      <c r="G125" s="285"/>
      <c r="H125" s="285"/>
      <c r="I125" s="285"/>
      <c r="J125" s="285"/>
      <c r="K125" s="285"/>
      <c r="L125" s="285"/>
      <c r="M125" s="285"/>
      <c r="N125" s="285"/>
      <c r="O125" s="285"/>
      <c r="P125" s="285"/>
      <c r="Q125" s="285"/>
      <c r="R125" s="285"/>
      <c r="S125" s="285"/>
      <c r="T125" s="285"/>
      <c r="U125" s="285"/>
      <c r="V125" s="285"/>
      <c r="W125" s="285"/>
    </row>
  </sheetData>
  <sheetProtection sheet="1" objects="1" scenarios="1"/>
  <mergeCells count="17">
    <mergeCell ref="A1:D1"/>
    <mergeCell ref="B47:D47"/>
    <mergeCell ref="B45:D45"/>
    <mergeCell ref="B46:D46"/>
    <mergeCell ref="A56:G56"/>
    <mergeCell ref="B2:D2"/>
    <mergeCell ref="B77:D77"/>
    <mergeCell ref="B74:D74"/>
    <mergeCell ref="B73:D73"/>
    <mergeCell ref="G7:H7"/>
    <mergeCell ref="B33:E33"/>
    <mergeCell ref="B57:E57"/>
    <mergeCell ref="B7:D7"/>
    <mergeCell ref="E7:F7"/>
    <mergeCell ref="B24:D24"/>
    <mergeCell ref="B23:D23"/>
    <mergeCell ref="B22:D22"/>
  </mergeCells>
  <phoneticPr fontId="92" type="noConversion"/>
  <conditionalFormatting sqref="A9:B16">
    <cfRule type="cellIs" dxfId="278" priority="171" operator="equal">
      <formula>"จบคำถามในส่วนที่ 1"</formula>
    </cfRule>
    <cfRule type="cellIs" dxfId="277" priority="172" stopIfTrue="1" operator="equal">
      <formula>"สอดคล้องตามนโยบาย และแผนความมั่นคงแห่งชาติฯ* หรือไม่ ?"</formula>
    </cfRule>
    <cfRule type="cellIs" dxfId="276" priority="173" operator="equal">
      <formula>"คลิกที่นี่ เพื่อประเมินระดับชั้นข้อมูล/ประเภทข้อมูล ต่อไป"</formula>
    </cfRule>
    <cfRule type="containsText" dxfId="275" priority="174" operator="containsText" text="เผยแพร่ภายในองค์กร">
      <formula>NOT(ISERROR(SEARCH("เผยแพร่ภายในองค์กร",A9)))</formula>
    </cfRule>
    <cfRule type="containsText" dxfId="274" priority="175" operator="containsText" text="ลับ ">
      <formula>NOT(ISERROR(SEARCH("ลับ ",A9)))</formula>
    </cfRule>
    <cfRule type="containsText" dxfId="273" priority="176" operator="containsText" text="ลับมาก">
      <formula>NOT(ISERROR(SEARCH("ลับมาก",A9)))</formula>
    </cfRule>
  </conditionalFormatting>
  <conditionalFormatting sqref="B12:B13">
    <cfRule type="containsText" dxfId="272" priority="158" operator="containsText" text="ลับมาก">
      <formula>NOT(ISERROR(SEARCH("ลับมาก",B12)))</formula>
    </cfRule>
    <cfRule type="containsText" dxfId="271" priority="157" operator="containsText" text="ลับ ">
      <formula>NOT(ISERROR(SEARCH("ลับ ",B12)))</formula>
    </cfRule>
    <cfRule type="containsText" dxfId="270" priority="155" operator="containsText" text="เผยแพร่ภายในองค์กร">
      <formula>NOT(ISERROR(SEARCH("เผยแพร่ภายในองค์กร",B12)))</formula>
    </cfRule>
    <cfRule type="cellIs" dxfId="269" priority="154" operator="equal">
      <formula>"คลิกที่นี่ เพื่อประเมินระดับชั้นข้อมูล/ประเภทข้อมูล ต่อไป"</formula>
    </cfRule>
    <cfRule type="cellIs" dxfId="268" priority="153" stopIfTrue="1" operator="equal">
      <formula>"สอดคล้องตามนโยบาย และแผนความมั่นคงแห่งชาติฯ* หรือไม่ ?"</formula>
    </cfRule>
    <cfRule type="cellIs" dxfId="267" priority="152" operator="equal">
      <formula>"จบคำถามในส่วนที่ 1"</formula>
    </cfRule>
  </conditionalFormatting>
  <conditionalFormatting sqref="B22">
    <cfRule type="cellIs" dxfId="266" priority="12" operator="equal">
      <formula>"สรุปผลในส่วนที่ 1:"</formula>
    </cfRule>
  </conditionalFormatting>
  <conditionalFormatting sqref="B23">
    <cfRule type="containsText" dxfId="265" priority="100" operator="containsText" text="ลับที่สุด">
      <formula>NOT(ISERROR(SEARCH("ลับที่สุด",B23)))</formula>
    </cfRule>
    <cfRule type="containsText" dxfId="264" priority="97" operator="containsText" text="เปิดเผย">
      <formula>NOT(ISERROR(SEARCH("เปิดเผย",B23)))</formula>
    </cfRule>
    <cfRule type="containsText" dxfId="263" priority="96" operator="containsText" text="เผยแพร่ภายในองค์กร">
      <formula>NOT(ISERROR(SEARCH("เผยแพร่ภายในองค์กร",B23)))</formula>
    </cfRule>
    <cfRule type="containsText" dxfId="262" priority="95" operator="containsText" text="ลับที่สุด">
      <formula>NOT(ISERROR(SEARCH("ลับที่สุด",B23)))</formula>
    </cfRule>
    <cfRule type="containsText" dxfId="261" priority="94" operator="containsText" text="ลับมาก">
      <formula>NOT(ISERROR(SEARCH("ลับมาก",B23)))</formula>
    </cfRule>
    <cfRule type="containsText" dxfId="260" priority="93" operator="containsText" text="ลับ ">
      <formula>NOT(ISERROR(SEARCH("ลับ ",B23)))</formula>
    </cfRule>
    <cfRule type="cellIs" dxfId="259" priority="92" operator="equal">
      <formula>"จบการทำแบบประเมิน"</formula>
    </cfRule>
    <cfRule type="expression" dxfId="258" priority="91">
      <formula>ISNUMBER(SEARCH("ส่วนที่",TRIM($B$23)))</formula>
    </cfRule>
    <cfRule type="expression" dxfId="257" priority="90">
      <formula>ISNUMBER(SEARCH("คลิก",TRIM($B$23)))</formula>
    </cfRule>
    <cfRule type="containsText" dxfId="256" priority="98" stopIfTrue="1" operator="containsText" text="ลับ ">
      <formula>NOT(ISERROR(SEARCH("ลับ ",B23)))</formula>
    </cfRule>
    <cfRule type="containsText" dxfId="255" priority="99" operator="containsText" text="ลับมาก">
      <formula>NOT(ISERROR(SEARCH("ลับมาก",B23)))</formula>
    </cfRule>
  </conditionalFormatting>
  <conditionalFormatting sqref="B24">
    <cfRule type="expression" dxfId="254" priority="62">
      <formula>ISNUMBER(SEARCH("ส่วนที่ 1",TRIM($B$21)))</formula>
    </cfRule>
    <cfRule type="containsText" dxfId="253" priority="54" operator="containsText" text="เผยแพร่ภายในองค์กร">
      <formula>NOT(ISERROR(SEARCH("เผยแพร่ภายในองค์กร",B24)))</formula>
    </cfRule>
    <cfRule type="cellIs" dxfId="252" priority="53" operator="equal">
      <formula>" "</formula>
    </cfRule>
    <cfRule type="expression" dxfId="251" priority="61">
      <formula>B24=""</formula>
    </cfRule>
    <cfRule type="containsText" dxfId="250" priority="59" operator="containsText" text="ลับมาก">
      <formula>NOT(ISERROR(SEARCH("ลับมาก",B24)))</formula>
    </cfRule>
    <cfRule type="containsText" dxfId="249" priority="58" stopIfTrue="1" operator="containsText" text="ลับ ">
      <formula>NOT(ISERROR(SEARCH("ลับ ",B24)))</formula>
    </cfRule>
    <cfRule type="containsText" dxfId="248" priority="57" operator="containsText" text="ลับที่สุด">
      <formula>NOT(ISERROR(SEARCH("ลับที่สุด",B24)))</formula>
    </cfRule>
    <cfRule type="containsText" dxfId="247" priority="56" operator="containsText" text="ลับมาก">
      <formula>NOT(ISERROR(SEARCH("ลับมาก",B24)))</formula>
    </cfRule>
    <cfRule type="containsText" dxfId="246" priority="55" operator="containsText" text="ลับ ">
      <formula>NOT(ISERROR(SEARCH("ลับ ",B24)))</formula>
    </cfRule>
    <cfRule type="containsText" dxfId="245" priority="60" operator="containsText" text="ลับที่สุด">
      <formula>NOT(ISERROR(SEARCH("ลับที่สุด",B24)))</formula>
    </cfRule>
  </conditionalFormatting>
  <conditionalFormatting sqref="B25">
    <cfRule type="cellIs" dxfId="244" priority="177" operator="equal">
      <formula>"  "</formula>
    </cfRule>
    <cfRule type="cellIs" dxfId="243" priority="182" operator="equal">
      <formula>"หมวดหมู่ข้อมูล"</formula>
    </cfRule>
  </conditionalFormatting>
  <conditionalFormatting sqref="B26">
    <cfRule type="expression" dxfId="242" priority="361">
      <formula>ISNUMBER(SEARCH("ข้อมูล",TRIM($B26)))</formula>
    </cfRule>
  </conditionalFormatting>
  <conditionalFormatting sqref="B46">
    <cfRule type="containsText" dxfId="241" priority="27" operator="containsText" text="ลับ ">
      <formula>NOT(ISERROR(SEARCH("ลับ ",B46)))</formula>
    </cfRule>
    <cfRule type="containsText" dxfId="240" priority="28" operator="containsText" text="ลับมาก">
      <formula>NOT(ISERROR(SEARCH("ลับมาก",B46)))</formula>
    </cfRule>
    <cfRule type="containsText" dxfId="239" priority="29" operator="containsText" text="ลับที่สุด">
      <formula>NOT(ISERROR(SEARCH("ลับที่สุด",B46)))</formula>
    </cfRule>
    <cfRule type="expression" dxfId="238" priority="30">
      <formula>ISNUMBER(SEARCH("ข้อมูล",B46))</formula>
    </cfRule>
    <cfRule type="cellIs" dxfId="237" priority="31" operator="equal">
      <formula>" "</formula>
    </cfRule>
    <cfRule type="containsText" dxfId="236" priority="32" operator="containsText" text="เผยแพร่ภายในองค์กร">
      <formula>NOT(ISERROR(SEARCH("เผยแพร่ภายในองค์กร",B46)))</formula>
    </cfRule>
    <cfRule type="containsText" dxfId="235" priority="33" operator="containsText" text="ลับ ">
      <formula>NOT(ISERROR(SEARCH("ลับ ",B46)))</formula>
    </cfRule>
    <cfRule type="containsText" dxfId="234" priority="34" operator="containsText" text="ลับมาก">
      <formula>NOT(ISERROR(SEARCH("ลับมาก",B46)))</formula>
    </cfRule>
    <cfRule type="containsText" dxfId="233" priority="36" stopIfTrue="1" operator="containsText" text="ลับ ">
      <formula>NOT(ISERROR(SEARCH("ลับ ",B46)))</formula>
    </cfRule>
    <cfRule type="containsText" dxfId="232" priority="38" operator="containsText" text="ลับที่สุด">
      <formula>NOT(ISERROR(SEARCH("ลับที่สุด",B46)))</formula>
    </cfRule>
    <cfRule type="expression" dxfId="231" priority="39">
      <formula>B46=""</formula>
    </cfRule>
    <cfRule type="containsText" dxfId="230" priority="25" operator="containsText" text="เผยแพร่ภายในองค์กร">
      <formula>NOT(ISERROR(SEARCH("เผยแพร่ภายในองค์กร",B46)))</formula>
    </cfRule>
    <cfRule type="containsText" dxfId="229" priority="35" operator="containsText" text="ลับที่สุด">
      <formula>NOT(ISERROR(SEARCH("ลับที่สุด",B46)))</formula>
    </cfRule>
    <cfRule type="expression" dxfId="228" priority="19">
      <formula>ISNUMBER(SEARCH("คลิก",TRIM($B$46)))</formula>
    </cfRule>
    <cfRule type="expression" dxfId="227" priority="20">
      <formula>ISNUMBER(SEARCH("จบ",TRIM($B$39)))</formula>
    </cfRule>
    <cfRule type="containsText" dxfId="226" priority="21" operator="containsText" text="ลับ ">
      <formula>NOT(ISERROR(SEARCH("ลับ ",B46)))</formula>
    </cfRule>
    <cfRule type="containsText" dxfId="225" priority="22" operator="containsText" text="ลับมาก">
      <formula>NOT(ISERROR(SEARCH("ลับมาก",B46)))</formula>
    </cfRule>
    <cfRule type="containsText" dxfId="224" priority="23" operator="containsText" text="ลับที่สุด">
      <formula>NOT(ISERROR(SEARCH("ลับที่สุด",B46)))</formula>
    </cfRule>
    <cfRule type="containsText" dxfId="223" priority="37" operator="containsText" text="ลับมาก">
      <formula>NOT(ISERROR(SEARCH("ลับมาก",B46)))</formula>
    </cfRule>
    <cfRule type="cellIs" dxfId="222" priority="24" operator="equal">
      <formula>"จบการทำแบบประเมิน"</formula>
    </cfRule>
    <cfRule type="containsText" dxfId="221" priority="26" operator="containsText" text="เปิดเผย">
      <formula>NOT(ISERROR(SEARCH("เปิดเผย",B46)))</formula>
    </cfRule>
  </conditionalFormatting>
  <conditionalFormatting sqref="B47">
    <cfRule type="cellIs" dxfId="220" priority="41" operator="equal">
      <formula>" "</formula>
    </cfRule>
    <cfRule type="expression" dxfId="219" priority="42">
      <formula>B47=""</formula>
    </cfRule>
    <cfRule type="expression" dxfId="218" priority="43">
      <formula>ISNUMBER(SEARCH("ส่วนที่ 1",TRIM($B$22)))</formula>
    </cfRule>
  </conditionalFormatting>
  <conditionalFormatting sqref="B48">
    <cfRule type="expression" dxfId="217" priority="49">
      <formula>B48=""</formula>
    </cfRule>
    <cfRule type="cellIs" dxfId="216" priority="48" operator="equal">
      <formula>"หมวดหมู่ข้อมูล"</formula>
    </cfRule>
  </conditionalFormatting>
  <conditionalFormatting sqref="B74">
    <cfRule type="cellIs" dxfId="215" priority="63" stopIfTrue="1" operator="equal">
      <formula>"จบการทำแบบประเมิน ไม่ต้องทำในส่วนที่ 2"</formula>
    </cfRule>
    <cfRule type="containsText" dxfId="214" priority="64" operator="containsText" text="ลับ ">
      <formula>NOT(ISERROR(SEARCH("ลับ ",B74)))</formula>
    </cfRule>
    <cfRule type="containsText" dxfId="213" priority="65" operator="containsText" text="ลับมาก">
      <formula>NOT(ISERROR(SEARCH("ลับมาก",B74)))</formula>
    </cfRule>
    <cfRule type="containsText" dxfId="212" priority="66" operator="containsText" text="ลับที่สุด">
      <formula>NOT(ISERROR(SEARCH("ลับที่สุด",B74)))</formula>
    </cfRule>
    <cfRule type="cellIs" dxfId="211" priority="67" operator="equal">
      <formula>"จบการประเมิน"</formula>
    </cfRule>
    <cfRule type="containsText" dxfId="210" priority="68" operator="containsText" text="เผยแพร่ภายในองค์กร">
      <formula>NOT(ISERROR(SEARCH("เผยแพร่ภายในองค์กร",B74)))</formula>
    </cfRule>
    <cfRule type="containsText" dxfId="209" priority="69" operator="containsText" text="เปิดเผย">
      <formula>NOT(ISERROR(SEARCH("เปิดเผย",B74)))</formula>
    </cfRule>
    <cfRule type="containsText" dxfId="208" priority="70" stopIfTrue="1" operator="containsText" text="ลับ ">
      <formula>NOT(ISERROR(SEARCH("ลับ ",B74)))</formula>
    </cfRule>
    <cfRule type="containsText" dxfId="207" priority="71" operator="containsText" text="ลับมาก">
      <formula>NOT(ISERROR(SEARCH("ลับมาก",B74)))</formula>
    </cfRule>
    <cfRule type="containsText" dxfId="206" priority="72" operator="containsText" text="ลับที่สุด">
      <formula>NOT(ISERROR(SEARCH("ลับที่สุด",B74)))</formula>
    </cfRule>
  </conditionalFormatting>
  <conditionalFormatting sqref="B76:B77 E77">
    <cfRule type="containsText" dxfId="205" priority="82" operator="containsText" text="ลับที่สุด">
      <formula>NOT(ISERROR(SEARCH("ลับที่สุด",B76)))</formula>
    </cfRule>
    <cfRule type="containsText" dxfId="204" priority="81" operator="containsText" text="ลับมาก">
      <formula>NOT(ISERROR(SEARCH("ลับมาก",B76)))</formula>
    </cfRule>
    <cfRule type="containsText" dxfId="203" priority="80" stopIfTrue="1" operator="containsText" text="ลับ ">
      <formula>NOT(ISERROR(SEARCH("ลับ ",B76)))</formula>
    </cfRule>
  </conditionalFormatting>
  <conditionalFormatting sqref="B77 E77">
    <cfRule type="containsText" dxfId="202" priority="75" operator="containsText" text="ลับมาก">
      <formula>NOT(ISERROR(SEARCH("ลับมาก",B77)))</formula>
    </cfRule>
    <cfRule type="containsText" dxfId="201" priority="76" operator="containsText" text="ลับที่สุด">
      <formula>NOT(ISERROR(SEARCH("ลับที่สุด",B77)))</formula>
    </cfRule>
    <cfRule type="cellIs" dxfId="200" priority="77" operator="equal">
      <formula>"จบการประเมิน"</formula>
    </cfRule>
    <cfRule type="containsText" dxfId="199" priority="78" operator="containsText" text="เผยแพร่ภายในองค์กร">
      <formula>NOT(ISERROR(SEARCH("เผยแพร่ภายในองค์กร",B77)))</formula>
    </cfRule>
    <cfRule type="containsText" dxfId="198" priority="79" operator="containsText" text="เปิดเผย">
      <formula>NOT(ISERROR(SEARCH("เปิดเผย",B77)))</formula>
    </cfRule>
    <cfRule type="cellIs" dxfId="197" priority="73" stopIfTrue="1" operator="equal">
      <formula>"จบการทำแบบประเมิน ไม่ต้องทำในส่วนที่ 2"</formula>
    </cfRule>
    <cfRule type="containsText" dxfId="196" priority="74" operator="containsText" text="ลับ ">
      <formula>NOT(ISERROR(SEARCH("ลับ ",B77)))</formula>
    </cfRule>
  </conditionalFormatting>
  <conditionalFormatting sqref="B26:C26 C29">
    <cfRule type="cellIs" dxfId="195" priority="278" operator="equal">
      <formula>" "</formula>
    </cfRule>
    <cfRule type="containsText" dxfId="194" priority="279" operator="containsText" text="ลับ ">
      <formula>NOT(ISERROR(SEARCH("ลับ ",B26)))</formula>
    </cfRule>
    <cfRule type="containsText" dxfId="193" priority="280" operator="containsText" text="ลับมาก">
      <formula>NOT(ISERROR(SEARCH("ลับมาก",B26)))</formula>
    </cfRule>
    <cfRule type="containsText" dxfId="192" priority="281" operator="containsText" text="ลับที่สุด">
      <formula>NOT(ISERROR(SEARCH("ลับที่สุด",B26)))</formula>
    </cfRule>
  </conditionalFormatting>
  <conditionalFormatting sqref="B49:C49">
    <cfRule type="cellIs" dxfId="191" priority="262" operator="equal">
      <formula>" "</formula>
    </cfRule>
    <cfRule type="containsText" dxfId="190" priority="263" operator="containsText" text="ลับ ">
      <formula>NOT(ISERROR(SEARCH("ลับ ",B49)))</formula>
    </cfRule>
    <cfRule type="containsText" dxfId="189" priority="264" operator="containsText" text="ลับมาก">
      <formula>NOT(ISERROR(SEARCH("ลับมาก",B49)))</formula>
    </cfRule>
    <cfRule type="containsText" dxfId="188" priority="265" operator="containsText" text="ลับที่สุด">
      <formula>NOT(ISERROR(SEARCH("ลับที่สุด",B49)))</formula>
    </cfRule>
  </conditionalFormatting>
  <conditionalFormatting sqref="B24:D24">
    <cfRule type="expression" dxfId="187" priority="51">
      <formula>ISNUMBER(SEARCH("เปิด",TRIM($B$24)))</formula>
    </cfRule>
    <cfRule type="expression" dxfId="186" priority="52">
      <formula>ISNUMBER(SEARCH("ควร",TRIM($B$24)))</formula>
    </cfRule>
    <cfRule type="expression" dxfId="185" priority="50">
      <formula>ISNUMBER(SEARCH("ประกาศ",TRIM($B$20)))</formula>
    </cfRule>
  </conditionalFormatting>
  <conditionalFormatting sqref="B26:D26 C29:D29">
    <cfRule type="containsText" dxfId="184" priority="276" operator="containsText" text="เผยแพร่ภายในองค์กร">
      <formula>NOT(ISERROR(SEARCH("เผยแพร่ภายในองค์กร",B26)))</formula>
    </cfRule>
    <cfRule type="containsText" dxfId="183" priority="277" operator="containsText" text="เปิดเผย">
      <formula>NOT(ISERROR(SEARCH("เปิดเผย",B26)))</formula>
    </cfRule>
  </conditionalFormatting>
  <conditionalFormatting sqref="B47:D47">
    <cfRule type="expression" dxfId="182" priority="40">
      <formula>ISNUMBER(SEARCH("ควร",TRIM($B$47)))</formula>
    </cfRule>
  </conditionalFormatting>
  <conditionalFormatting sqref="B49:D49">
    <cfRule type="containsText" dxfId="181" priority="256" operator="containsText" text="เปิดเผย">
      <formula>NOT(ISERROR(SEARCH("เปิดเผย",B49)))</formula>
    </cfRule>
    <cfRule type="containsText" dxfId="180" priority="255" operator="containsText" text="เผยแพร่ภายในองค์กร">
      <formula>NOT(ISERROR(SEARCH("เผยแพร่ภายในองค์กร",B49)))</formula>
    </cfRule>
  </conditionalFormatting>
  <conditionalFormatting sqref="C15">
    <cfRule type="cellIs" dxfId="179" priority="83" operator="equal">
      <formula>"จบคำถามในส่วนที่ 1"</formula>
    </cfRule>
    <cfRule type="cellIs" dxfId="178" priority="84" stopIfTrue="1" operator="equal">
      <formula>"สอดคล้องตามนโยบาย และแผนความมั่นคงแห่งชาติฯ* หรือไม่ ?"</formula>
    </cfRule>
    <cfRule type="cellIs" dxfId="177" priority="85" operator="equal">
      <formula>"คลิกที่นี่ เพื่อประเมินระดับชั้นข้อมูล/ประเภทข้อมูล ต่อไป"</formula>
    </cfRule>
    <cfRule type="containsText" dxfId="176" priority="86" operator="containsText" text="เผยแพร่ภายในองค์กร">
      <formula>NOT(ISERROR(SEARCH("เผยแพร่ภายในองค์กร",C15)))</formula>
    </cfRule>
    <cfRule type="containsText" dxfId="175" priority="87" operator="containsText" text="ลับ ">
      <formula>NOT(ISERROR(SEARCH("ลับ ",C15)))</formula>
    </cfRule>
    <cfRule type="containsText" dxfId="174" priority="88" operator="containsText" text="ลับมาก">
      <formula>NOT(ISERROR(SEARCH("ลับมาก",C15)))</formula>
    </cfRule>
  </conditionalFormatting>
  <conditionalFormatting sqref="C48">
    <cfRule type="cellIs" dxfId="173" priority="44" operator="equal">
      <formula>"การจัดระดับชั้นข้อมูล"</formula>
    </cfRule>
  </conditionalFormatting>
  <conditionalFormatting sqref="C65">
    <cfRule type="containsText" dxfId="172" priority="9" operator="containsText" text="ต่ำ">
      <formula>NOT(ISERROR(SEARCH("ต่ำ",C65)))</formula>
    </cfRule>
    <cfRule type="containsText" dxfId="171" priority="11" operator="containsText" text="ปานกลาง">
      <formula>NOT(ISERROR(SEARCH("ปานกลาง",C65)))</formula>
    </cfRule>
    <cfRule type="containsText" dxfId="170" priority="10" operator="containsText" text="ต่ำมาก">
      <formula>NOT(ISERROR(SEARCH("ต่ำมาก",C65)))</formula>
    </cfRule>
    <cfRule type="containsText" dxfId="169" priority="8" operator="containsText" text="สูง">
      <formula>NOT(ISERROR(SEARCH("สูง",C65)))</formula>
    </cfRule>
    <cfRule type="containsText" dxfId="168" priority="7" operator="containsText" text="สูงมาก">
      <formula>NOT(ISERROR(SEARCH("สูงมาก",C65)))</formula>
    </cfRule>
  </conditionalFormatting>
  <conditionalFormatting sqref="C76">
    <cfRule type="containsText" dxfId="167" priority="17" operator="containsText" text="ลับ">
      <formula>NOT(ISERROR(SEARCH("ลับ",C76)))</formula>
    </cfRule>
    <cfRule type="cellIs" dxfId="166" priority="16" operator="equal">
      <formula>" "</formula>
    </cfRule>
    <cfRule type="cellIs" dxfId="165" priority="15" operator="equal">
      <formula>"เผยแพร่ภายในองค์กร"</formula>
    </cfRule>
    <cfRule type="cellIs" dxfId="164" priority="14" operator="equal">
      <formula>"เปิดเผย"</formula>
    </cfRule>
    <cfRule type="containsText" dxfId="163" priority="13" operator="containsText" text="ลับที่สุด">
      <formula>NOT(ISERROR(SEARCH("ลับที่สุด",C76)))</formula>
    </cfRule>
    <cfRule type="containsText" dxfId="162" priority="18" operator="containsText" text="ลับมาก">
      <formula>NOT(ISERROR(SEARCH("ลับมาก",C76)))</formula>
    </cfRule>
  </conditionalFormatting>
  <conditionalFormatting sqref="C25:D25">
    <cfRule type="expression" dxfId="161" priority="113">
      <formula>ISNUMBER(SEARCH("ข้อมูล",TRIM($C$25)))</formula>
    </cfRule>
    <cfRule type="expression" dxfId="160" priority="112">
      <formula>C25=""</formula>
    </cfRule>
  </conditionalFormatting>
  <conditionalFormatting sqref="C48:D48">
    <cfRule type="expression" dxfId="159" priority="45">
      <formula>C48=""</formula>
    </cfRule>
  </conditionalFormatting>
  <conditionalFormatting sqref="D26">
    <cfRule type="expression" dxfId="158" priority="362">
      <formula>ISNUMBER(SEARCH("Data",TRIM($D26)))</formula>
    </cfRule>
  </conditionalFormatting>
  <conditionalFormatting sqref="D48">
    <cfRule type="cellIs" dxfId="157" priority="46" operator="equal">
      <formula>"การจำแนกประเภทข้อมูล"</formula>
    </cfRule>
  </conditionalFormatting>
  <conditionalFormatting sqref="D49">
    <cfRule type="containsText" dxfId="156" priority="179" operator="containsText" text="ลับมาก">
      <formula>NOT(ISERROR(SEARCH("ลับมาก",D49)))</formula>
    </cfRule>
    <cfRule type="containsText" dxfId="155" priority="178" stopIfTrue="1" operator="containsText" text="ลับ ">
      <formula>NOT(ISERROR(SEARCH("ลับ ",D49)))</formula>
    </cfRule>
    <cfRule type="containsText" dxfId="154" priority="180" operator="containsText" text="ลับที่สุด">
      <formula>NOT(ISERROR(SEARCH("ลับที่สุด",D49)))</formula>
    </cfRule>
  </conditionalFormatting>
  <conditionalFormatting sqref="E10:E11">
    <cfRule type="containsText" dxfId="153" priority="6" operator="containsText" text="ลับมาก">
      <formula>NOT(ISERROR(SEARCH("ลับมาก",E10)))</formula>
    </cfRule>
    <cfRule type="containsText" dxfId="152" priority="5" operator="containsText" text="ลับ ">
      <formula>NOT(ISERROR(SEARCH("ลับ ",E10)))</formula>
    </cfRule>
    <cfRule type="containsText" dxfId="151" priority="4" operator="containsText" text="เผยแพร่ภายในองค์กร">
      <formula>NOT(ISERROR(SEARCH("เผยแพร่ภายในองค์กร",E10)))</formula>
    </cfRule>
    <cfRule type="cellIs" dxfId="150" priority="3" operator="equal">
      <formula>"คลิกที่นี่ เพื่อประเมินระดับชั้นข้อมูล/ประเภทข้อมูล ต่อไป"</formula>
    </cfRule>
    <cfRule type="cellIs" dxfId="149" priority="2" stopIfTrue="1" operator="equal">
      <formula>"สอดคล้องตามนโยบาย และแผนความมั่นคงแห่งชาติฯ* หรือไม่ ?"</formula>
    </cfRule>
    <cfRule type="cellIs" dxfId="148" priority="1" operator="equal">
      <formula>"จบคำถามในส่วนที่ 1"</formula>
    </cfRule>
  </conditionalFormatting>
  <conditionalFormatting sqref="E26 F48 E49">
    <cfRule type="expression" dxfId="147" priority="266">
      <formula>ISNUMBER(SEARCH("Cloud",E26))</formula>
    </cfRule>
  </conditionalFormatting>
  <conditionalFormatting sqref="E75:E76 D76">
    <cfRule type="expression" dxfId="146" priority="526">
      <formula>ISNUMBER(SEARCH("Highly Protected Data",TRIM($C$76)))</formula>
    </cfRule>
    <cfRule type="expression" dxfId="145" priority="524">
      <formula>ISNUMBER(SEARCH("Protected Data",TRIM($C$76)))</formula>
    </cfRule>
    <cfRule type="expression" dxfId="144" priority="525">
      <formula>ISNUMBER(SEARCH("Official Data",TRIM($C$76)))</formula>
    </cfRule>
  </conditionalFormatting>
  <conditionalFormatting sqref="F73">
    <cfRule type="cellIs" dxfId="143" priority="233" operator="equal">
      <formula>"ประเภทของบริการคลาวด์ที่แนะนำ"</formula>
    </cfRule>
    <cfRule type="cellIs" dxfId="142" priority="232" operator="equal">
      <formula>" "</formula>
    </cfRule>
  </conditionalFormatting>
  <conditionalFormatting sqref="F74:F76">
    <cfRule type="expression" dxfId="141" priority="226">
      <formula>ISNUMBER(SEARCH("Cloud",F74))</formula>
    </cfRule>
  </conditionalFormatting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F856EEE-DE96-4BB2-A1A7-67A863FBA6CE}">
          <x14:formula1>
            <xm:f>Dropdown!$R$12:$R$14</xm:f>
          </x14:formula1>
          <xm:sqref>C9:C13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72491-EC0A-4E21-8EF4-78C1064A7EEC}">
  <dimension ref="B2:BQ98"/>
  <sheetViews>
    <sheetView topLeftCell="B58" zoomScale="60" zoomScaleNormal="60" workbookViewId="0">
      <pane xSplit="1" topLeftCell="AE1" activePane="topRight" state="frozen"/>
      <selection pane="topRight" activeCell="M4" sqref="M4:N4"/>
      <selection activeCell="B3" sqref="B3"/>
    </sheetView>
  </sheetViews>
  <sheetFormatPr defaultRowHeight="14.1"/>
  <cols>
    <col min="2" max="2" width="66.875" customWidth="1"/>
    <col min="3" max="3" width="22" customWidth="1"/>
    <col min="4" max="4" width="15.625" customWidth="1"/>
    <col min="5" max="5" width="24.5" customWidth="1"/>
    <col min="6" max="6" width="17.5" customWidth="1"/>
    <col min="7" max="8" width="17.75" customWidth="1"/>
    <col min="9" max="9" width="20.375" customWidth="1"/>
    <col min="10" max="10" width="21.875" customWidth="1"/>
    <col min="11" max="11" width="15.875" customWidth="1"/>
    <col min="12" max="12" width="22" customWidth="1"/>
    <col min="13" max="13" width="16.5" customWidth="1"/>
    <col min="14" max="14" width="18.875" customWidth="1"/>
    <col min="15" max="15" width="18.5" customWidth="1"/>
    <col min="16" max="16" width="20.125" customWidth="1"/>
    <col min="17" max="17" width="21.75" customWidth="1"/>
    <col min="18" max="18" width="16.625" customWidth="1"/>
    <col min="19" max="19" width="27.125" customWidth="1"/>
    <col min="20" max="20" width="16.125" customWidth="1"/>
    <col min="21" max="21" width="24.625" customWidth="1"/>
    <col min="22" max="22" width="11.125" customWidth="1"/>
    <col min="23" max="23" width="20.25" customWidth="1"/>
    <col min="24" max="24" width="21.625" customWidth="1"/>
    <col min="25" max="25" width="23.875" customWidth="1"/>
    <col min="26" max="26" width="25.625" customWidth="1"/>
    <col min="27" max="27" width="16.625" customWidth="1"/>
    <col min="28" max="28" width="22.25" customWidth="1"/>
    <col min="29" max="29" width="16.875" customWidth="1"/>
    <col min="30" max="30" width="12.625" customWidth="1"/>
    <col min="31" max="31" width="23.375" customWidth="1"/>
    <col min="32" max="32" width="16.875" customWidth="1"/>
    <col min="33" max="33" width="22.625" customWidth="1"/>
    <col min="34" max="34" width="14.375" customWidth="1"/>
    <col min="35" max="35" width="20.875" customWidth="1"/>
    <col min="36" max="36" width="18.25" customWidth="1"/>
    <col min="37" max="37" width="24.25" customWidth="1"/>
    <col min="38" max="38" width="19.125" customWidth="1"/>
    <col min="39" max="39" width="17.875" customWidth="1"/>
    <col min="40" max="40" width="32.875" customWidth="1"/>
    <col min="41" max="41" width="18.625" customWidth="1"/>
    <col min="42" max="42" width="9.375" customWidth="1"/>
    <col min="43" max="43" width="24" customWidth="1"/>
    <col min="44" max="44" width="10.625" customWidth="1"/>
    <col min="45" max="45" width="23.125" customWidth="1"/>
    <col min="46" max="46" width="10.875" customWidth="1"/>
    <col min="47" max="47" width="20.625" customWidth="1"/>
    <col min="48" max="48" width="10.625" customWidth="1"/>
    <col min="52" max="52" width="26.5" customWidth="1"/>
    <col min="53" max="53" width="9.75" customWidth="1"/>
    <col min="54" max="54" width="25.375" customWidth="1"/>
    <col min="55" max="55" width="8.125" customWidth="1"/>
    <col min="56" max="56" width="26.25" customWidth="1"/>
    <col min="57" max="57" width="8" customWidth="1"/>
    <col min="58" max="58" width="22.625" customWidth="1"/>
    <col min="59" max="59" width="8.875" customWidth="1"/>
    <col min="62" max="62" width="25.875" customWidth="1"/>
    <col min="63" max="63" width="9.25" customWidth="1"/>
    <col min="64" max="64" width="25.375" customWidth="1"/>
    <col min="65" max="65" width="9.5" customWidth="1"/>
    <col min="66" max="66" width="25.25" bestFit="1" customWidth="1"/>
    <col min="67" max="67" width="8.625" customWidth="1"/>
    <col min="68" max="68" width="25.875" bestFit="1" customWidth="1"/>
    <col min="69" max="69" width="7.875" customWidth="1"/>
  </cols>
  <sheetData>
    <row r="2" spans="2:44" s="194" customFormat="1" ht="34.5" customHeight="1">
      <c r="B2" s="195" t="s">
        <v>232</v>
      </c>
      <c r="C2" s="200"/>
      <c r="D2" s="200"/>
      <c r="E2" s="201"/>
      <c r="M2" s="202"/>
    </row>
    <row r="3" spans="2:44" s="140" customFormat="1" ht="27">
      <c r="B3" s="212" t="s">
        <v>233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AJ3" s="211"/>
      <c r="AK3" s="211"/>
    </row>
    <row r="4" spans="2:44" s="184" customFormat="1" ht="70.5" customHeight="1">
      <c r="B4" s="217" t="s">
        <v>234</v>
      </c>
      <c r="C4" s="573" t="s">
        <v>235</v>
      </c>
      <c r="D4" s="573"/>
      <c r="E4" s="574" t="s">
        <v>236</v>
      </c>
      <c r="F4" s="574"/>
      <c r="G4" s="557" t="s">
        <v>237</v>
      </c>
      <c r="H4" s="557"/>
      <c r="I4" s="574" t="s">
        <v>238</v>
      </c>
      <c r="J4" s="574"/>
      <c r="K4" s="574" t="s">
        <v>236</v>
      </c>
      <c r="L4" s="574"/>
      <c r="M4" s="562" t="s">
        <v>239</v>
      </c>
      <c r="N4" s="562"/>
      <c r="O4" s="557" t="s">
        <v>237</v>
      </c>
      <c r="P4" s="557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83"/>
      <c r="AK4" s="183"/>
      <c r="AL4" s="150"/>
      <c r="AM4" s="150"/>
      <c r="AN4" s="150"/>
      <c r="AO4" s="150"/>
      <c r="AP4" s="150"/>
      <c r="AQ4" s="150"/>
      <c r="AR4" s="150"/>
    </row>
    <row r="5" spans="2:44" ht="18" customHeight="1">
      <c r="B5" s="105" t="s">
        <v>123</v>
      </c>
      <c r="C5" s="181" t="s">
        <v>240</v>
      </c>
      <c r="D5" s="181" t="s">
        <v>241</v>
      </c>
      <c r="E5" s="181" t="s">
        <v>240</v>
      </c>
      <c r="F5" s="181" t="s">
        <v>241</v>
      </c>
      <c r="G5" s="181" t="s">
        <v>240</v>
      </c>
      <c r="H5" s="181" t="s">
        <v>241</v>
      </c>
      <c r="I5" s="181" t="s">
        <v>240</v>
      </c>
      <c r="J5" s="181" t="s">
        <v>241</v>
      </c>
      <c r="K5" s="181" t="s">
        <v>240</v>
      </c>
      <c r="L5" s="181" t="s">
        <v>241</v>
      </c>
      <c r="M5" s="181" t="s">
        <v>240</v>
      </c>
      <c r="N5" s="181" t="s">
        <v>241</v>
      </c>
      <c r="O5" s="181" t="s">
        <v>240</v>
      </c>
      <c r="P5" s="203" t="s">
        <v>241</v>
      </c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</row>
    <row r="6" spans="2:44" ht="24">
      <c r="B6" s="215" t="s">
        <v>242</v>
      </c>
      <c r="C6" s="63" t="s">
        <v>33</v>
      </c>
      <c r="D6" s="102">
        <f>IF(C6="", "", IF(C6="ใช่", 5, 0))</f>
        <v>5</v>
      </c>
      <c r="E6" s="63" t="s">
        <v>33</v>
      </c>
      <c r="F6" s="102">
        <f>IF(E6="", "", IF(E6="ใช่", 5, 0))</f>
        <v>5</v>
      </c>
      <c r="G6" s="63" t="s">
        <v>33</v>
      </c>
      <c r="H6" s="102">
        <f>IF(G6="", "", IF(G6="ใช่", 5, 0))</f>
        <v>5</v>
      </c>
      <c r="I6" s="63" t="s">
        <v>33</v>
      </c>
      <c r="J6" s="102">
        <f>IF(I6="", "", IF(I6="ใช่", 5, 0))</f>
        <v>5</v>
      </c>
      <c r="K6" s="63" t="s">
        <v>33</v>
      </c>
      <c r="L6" s="102">
        <f>IF(K6="", "", IF(K6="ใช่", 5, 0))</f>
        <v>5</v>
      </c>
      <c r="M6" s="63" t="s">
        <v>33</v>
      </c>
      <c r="N6" s="102">
        <f>IF(M6="", "", IF(M6="ใช่", 5, 0))</f>
        <v>5</v>
      </c>
      <c r="O6" s="63" t="s">
        <v>33</v>
      </c>
      <c r="P6" s="102">
        <f>IF(O6="", "", IF(O6="ใช่", 5, 0))</f>
        <v>5</v>
      </c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</row>
    <row r="7" spans="2:44" ht="24">
      <c r="B7" s="98" t="str">
        <f>IF(TRIM(C6)="", "",
   IF(OR(TRIM(C6)="ใช่", TRIM(C6)="ไม่"),
      "ต้องได้รับอนุญาตก่อนเผยแพร่ หรือไม่ ?",
      "")
)</f>
        <v>ต้องได้รับอนุญาตก่อนเผยแพร่ หรือไม่ ?</v>
      </c>
      <c r="C7" s="63" t="s">
        <v>34</v>
      </c>
      <c r="D7" s="235">
        <f t="shared" ref="D7:D11" si="0">IF(C7="", "", IF(C7="ใช่", 2, 1))</f>
        <v>1</v>
      </c>
      <c r="E7" s="63" t="s">
        <v>33</v>
      </c>
      <c r="F7" s="102">
        <f>IF(E7="", "", IF(E7="ใช่", 2, 1))</f>
        <v>2</v>
      </c>
      <c r="G7" s="63" t="s">
        <v>33</v>
      </c>
      <c r="H7" s="102">
        <f>IF(G7="", "", IF(G7="ใช่", 2, 1))</f>
        <v>2</v>
      </c>
      <c r="I7" s="63" t="s">
        <v>33</v>
      </c>
      <c r="J7" s="102">
        <f>IF(I7="", "", IF(I7="ใช่", 2, 1))</f>
        <v>2</v>
      </c>
      <c r="K7" s="63" t="s">
        <v>33</v>
      </c>
      <c r="L7" s="225">
        <f t="shared" ref="L7:L10" si="1">IF(K7="", "", IF(K7="ใช่", 2, 1))</f>
        <v>2</v>
      </c>
      <c r="M7" s="63" t="s">
        <v>33</v>
      </c>
      <c r="N7" s="225">
        <f t="shared" ref="N7:N8" si="2">IF(M7="", "", IF(M7="ใช่", 2, 1))</f>
        <v>2</v>
      </c>
      <c r="O7" s="63" t="s">
        <v>33</v>
      </c>
      <c r="P7" s="225">
        <f t="shared" ref="P7:P8" si="3">IF(O7="", "", IF(O7="ใช่", 2, 1))</f>
        <v>2</v>
      </c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</row>
    <row r="8" spans="2:44" s="285" customFormat="1" ht="24">
      <c r="B8" s="282" t="s">
        <v>243</v>
      </c>
      <c r="C8" s="181" t="s">
        <v>244</v>
      </c>
      <c r="D8" s="181" t="s">
        <v>244</v>
      </c>
      <c r="E8" s="283" t="s">
        <v>34</v>
      </c>
      <c r="F8" s="102">
        <f>IF(E8="", "", IF(E8="ใช่", 2, 1))</f>
        <v>1</v>
      </c>
      <c r="G8" s="283" t="s">
        <v>33</v>
      </c>
      <c r="H8" s="102">
        <f>IF(G8="", "", IF(G8="ใช่", 2, 1))</f>
        <v>2</v>
      </c>
      <c r="I8" s="283" t="s">
        <v>33</v>
      </c>
      <c r="J8" s="102">
        <f>IF(I8="", "", IF(I8="ใช่", 2, 1))</f>
        <v>2</v>
      </c>
      <c r="K8" s="283" t="s">
        <v>33</v>
      </c>
      <c r="L8" s="225">
        <f t="shared" si="1"/>
        <v>2</v>
      </c>
      <c r="M8" s="283" t="s">
        <v>33</v>
      </c>
      <c r="N8" s="225">
        <f t="shared" si="2"/>
        <v>2</v>
      </c>
      <c r="O8" s="283" t="s">
        <v>33</v>
      </c>
      <c r="P8" s="225">
        <f t="shared" si="3"/>
        <v>2</v>
      </c>
      <c r="Y8" s="284"/>
      <c r="Z8" s="284"/>
      <c r="AA8" s="284"/>
      <c r="AB8" s="284"/>
      <c r="AC8" s="284"/>
      <c r="AD8" s="284"/>
      <c r="AE8" s="284"/>
      <c r="AF8" s="284"/>
      <c r="AG8" s="284"/>
      <c r="AH8" s="284"/>
      <c r="AI8" s="284"/>
      <c r="AJ8" s="284"/>
      <c r="AK8" s="284"/>
    </row>
    <row r="9" spans="2:44" ht="33.950000000000003" customHeight="1">
      <c r="B9" s="215" t="s">
        <v>126</v>
      </c>
      <c r="C9" s="91"/>
      <c r="D9" s="104"/>
      <c r="E9" s="181" t="s">
        <v>244</v>
      </c>
      <c r="F9" s="181" t="s">
        <v>244</v>
      </c>
      <c r="G9" s="63" t="s">
        <v>33</v>
      </c>
      <c r="H9" s="224">
        <f>IF(G9="", "", IF(G9="ใช่", 5, 0))</f>
        <v>5</v>
      </c>
      <c r="I9" s="63" t="s">
        <v>34</v>
      </c>
      <c r="J9" s="224">
        <f>IF(I9="", "", IF(I9="ใช่", 5, 0))</f>
        <v>0</v>
      </c>
      <c r="K9" s="63" t="s">
        <v>34</v>
      </c>
      <c r="L9" s="225">
        <f>IF(K9="", "", IF(K9="ใช่", 5, 0))</f>
        <v>0</v>
      </c>
      <c r="M9" s="63" t="s">
        <v>34</v>
      </c>
      <c r="N9" s="225">
        <f>IF(M9="", "", IF(M9="ใช่", 5, 0))</f>
        <v>0</v>
      </c>
      <c r="O9" s="63" t="s">
        <v>34</v>
      </c>
      <c r="P9" s="225">
        <f>IF(O9="", "", IF(O9="ใช่", 5, 0))</f>
        <v>0</v>
      </c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</row>
    <row r="10" spans="2:44" s="285" customFormat="1" ht="33.950000000000003" customHeight="1">
      <c r="B10" s="287" t="s">
        <v>214</v>
      </c>
      <c r="C10" s="286"/>
      <c r="D10" s="286"/>
      <c r="G10" s="181" t="s">
        <v>244</v>
      </c>
      <c r="H10" s="181" t="s">
        <v>244</v>
      </c>
      <c r="I10" s="63" t="s">
        <v>33</v>
      </c>
      <c r="J10" s="102">
        <f>IF(I10="", "", IF(I10="ใช่", 2, 1))</f>
        <v>2</v>
      </c>
      <c r="K10" s="283" t="s">
        <v>34</v>
      </c>
      <c r="L10" s="225">
        <f t="shared" si="1"/>
        <v>1</v>
      </c>
      <c r="M10" s="283" t="s">
        <v>34</v>
      </c>
      <c r="N10" s="225">
        <f t="shared" ref="N10:N12" si="4">IF(M10="", "", IF(M10="ใช่", 2, 1))</f>
        <v>1</v>
      </c>
      <c r="O10" s="283" t="s">
        <v>34</v>
      </c>
      <c r="P10" s="225">
        <f t="shared" ref="P10:P12" si="5">IF(O10="", "", IF(O10="ใช่", 2, 1))</f>
        <v>1</v>
      </c>
      <c r="Y10" s="284"/>
      <c r="Z10" s="284"/>
      <c r="AA10" s="284"/>
      <c r="AB10" s="284"/>
      <c r="AC10" s="284"/>
      <c r="AD10" s="284"/>
      <c r="AE10" s="284"/>
      <c r="AF10" s="284"/>
      <c r="AG10" s="284"/>
      <c r="AH10" s="284"/>
      <c r="AI10" s="284"/>
      <c r="AJ10" s="284"/>
      <c r="AK10" s="284"/>
    </row>
    <row r="11" spans="2:44" ht="26.1" customHeight="1">
      <c r="B11" s="103" t="s">
        <v>245</v>
      </c>
      <c r="C11" s="91"/>
      <c r="D11" s="104" t="str">
        <f t="shared" si="0"/>
        <v/>
      </c>
      <c r="E11" s="104"/>
      <c r="F11" s="104"/>
      <c r="I11" s="181" t="s">
        <v>244</v>
      </c>
      <c r="J11" s="181" t="s">
        <v>244</v>
      </c>
      <c r="K11" s="63" t="s">
        <v>34</v>
      </c>
      <c r="L11" s="225">
        <f t="shared" ref="L11" si="6">IF(K11="", "", IF(K11="ใช่", 2, 1))</f>
        <v>1</v>
      </c>
      <c r="M11" s="63" t="s">
        <v>33</v>
      </c>
      <c r="N11" s="225">
        <f t="shared" si="4"/>
        <v>2</v>
      </c>
      <c r="O11" s="63" t="s">
        <v>33</v>
      </c>
      <c r="P11" s="225">
        <f t="shared" si="5"/>
        <v>2</v>
      </c>
      <c r="Y11" s="158"/>
      <c r="Z11" s="158"/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8"/>
    </row>
    <row r="12" spans="2:44" ht="26.1" customHeight="1">
      <c r="B12" s="103" t="s">
        <v>246</v>
      </c>
      <c r="C12" s="91"/>
      <c r="D12" s="104"/>
      <c r="E12" s="104"/>
      <c r="F12" s="104"/>
      <c r="G12" s="288"/>
      <c r="H12" s="288"/>
      <c r="I12" s="288"/>
      <c r="J12" s="288"/>
      <c r="K12" s="181" t="s">
        <v>244</v>
      </c>
      <c r="L12" s="181" t="s">
        <v>244</v>
      </c>
      <c r="M12" s="63" t="s">
        <v>34</v>
      </c>
      <c r="N12" s="225">
        <f t="shared" si="4"/>
        <v>1</v>
      </c>
      <c r="O12" s="63" t="s">
        <v>33</v>
      </c>
      <c r="P12" s="225">
        <f t="shared" si="5"/>
        <v>2</v>
      </c>
      <c r="Y12" s="158"/>
      <c r="Z12" s="158"/>
      <c r="AA12" s="158"/>
      <c r="AB12" s="158"/>
      <c r="AC12" s="158"/>
      <c r="AD12" s="158"/>
      <c r="AE12" s="158"/>
      <c r="AF12" s="158"/>
      <c r="AG12" s="158"/>
      <c r="AH12" s="158"/>
      <c r="AI12" s="158"/>
      <c r="AJ12" s="158"/>
      <c r="AK12" s="158"/>
    </row>
    <row r="13" spans="2:44" ht="24">
      <c r="B13" s="216" t="s">
        <v>247</v>
      </c>
      <c r="C13" s="91"/>
      <c r="D13" s="104"/>
      <c r="E13" s="91"/>
      <c r="F13" s="104"/>
      <c r="G13" s="91"/>
      <c r="H13" s="104"/>
      <c r="I13" s="91"/>
      <c r="J13" s="104"/>
      <c r="M13" s="181" t="s">
        <v>244</v>
      </c>
      <c r="N13" s="181" t="s">
        <v>244</v>
      </c>
      <c r="O13" s="63" t="s">
        <v>33</v>
      </c>
      <c r="P13" s="224">
        <f>IF(O13="", "", IF(O13="ใช่", 5, 0))</f>
        <v>5</v>
      </c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</row>
    <row r="14" spans="2:44" ht="18" customHeight="1">
      <c r="D14" s="56"/>
      <c r="F14" s="104"/>
      <c r="H14" s="104"/>
      <c r="J14" s="104"/>
      <c r="K14" s="56"/>
      <c r="L14" s="56"/>
      <c r="M14" s="289"/>
      <c r="N14" s="289"/>
      <c r="O14" s="181" t="s">
        <v>244</v>
      </c>
      <c r="P14" s="203" t="s">
        <v>244</v>
      </c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</row>
    <row r="15" spans="2:44" ht="21" hidden="1" customHeight="1">
      <c r="C15" s="241">
        <f>SUM(D6:D7)</f>
        <v>6</v>
      </c>
      <c r="E15" s="242">
        <f>SUM(F6:F9)</f>
        <v>8</v>
      </c>
      <c r="G15" s="243">
        <f>SUM(H6:H10)</f>
        <v>14</v>
      </c>
      <c r="I15" s="243">
        <f>SUM(J6:J11)</f>
        <v>11</v>
      </c>
      <c r="K15" s="243">
        <f>SUM(L6:L12)</f>
        <v>11</v>
      </c>
      <c r="M15" s="244">
        <f>SUM(N6:N13)</f>
        <v>13</v>
      </c>
    </row>
    <row r="16" spans="2:44" s="154" customFormat="1" ht="30.95" customHeight="1">
      <c r="B16" s="195" t="s">
        <v>248</v>
      </c>
      <c r="C16" s="629" t="s">
        <v>249</v>
      </c>
      <c r="D16" s="630"/>
      <c r="E16" s="558" t="s">
        <v>236</v>
      </c>
      <c r="F16" s="559"/>
      <c r="G16" s="558" t="s">
        <v>250</v>
      </c>
      <c r="H16" s="559"/>
      <c r="I16" s="558" t="s">
        <v>238</v>
      </c>
      <c r="J16" s="559"/>
      <c r="K16" s="558" t="s">
        <v>250</v>
      </c>
      <c r="L16" s="559"/>
      <c r="M16" s="558" t="s">
        <v>251</v>
      </c>
      <c r="N16" s="559"/>
      <c r="O16" s="560" t="s">
        <v>252</v>
      </c>
      <c r="P16" s="561"/>
      <c r="Y16" s="160"/>
      <c r="Z16" s="160"/>
      <c r="AA16" s="160"/>
      <c r="AB16" s="160"/>
      <c r="AC16" s="160"/>
      <c r="AD16" s="160"/>
      <c r="AE16" s="160"/>
      <c r="AF16" s="160"/>
      <c r="AG16" s="160"/>
      <c r="AH16" s="160"/>
      <c r="AI16" s="160"/>
      <c r="AJ16" s="160"/>
      <c r="AK16" s="160"/>
    </row>
    <row r="17" spans="2:44" s="155" customFormat="1" ht="15.95" customHeight="1">
      <c r="B17" s="245"/>
      <c r="C17" s="246"/>
      <c r="D17" s="246"/>
      <c r="E17" s="247"/>
      <c r="F17" s="247"/>
      <c r="G17" s="248"/>
      <c r="I17" s="248"/>
      <c r="K17" s="247"/>
      <c r="M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</row>
    <row r="18" spans="2:44" s="205" customFormat="1" ht="28.5" customHeight="1">
      <c r="B18" s="179" t="s">
        <v>253</v>
      </c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O18" s="206"/>
      <c r="P18" s="206"/>
      <c r="Q18" s="207"/>
      <c r="R18" s="207"/>
      <c r="S18" s="206"/>
      <c r="T18" s="206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</row>
    <row r="19" spans="2:44" s="155" customFormat="1" ht="87" customHeight="1">
      <c r="B19" s="218" t="s">
        <v>254</v>
      </c>
      <c r="C19" s="573" t="s">
        <v>255</v>
      </c>
      <c r="D19" s="573"/>
      <c r="E19" s="557" t="s">
        <v>256</v>
      </c>
      <c r="F19" s="557"/>
      <c r="G19" s="578" t="s">
        <v>257</v>
      </c>
      <c r="H19" s="578"/>
      <c r="I19" s="578" t="s">
        <v>258</v>
      </c>
      <c r="J19" s="578"/>
      <c r="K19" s="557" t="s">
        <v>259</v>
      </c>
      <c r="L19" s="557"/>
      <c r="M19" s="204"/>
      <c r="N19" s="154"/>
      <c r="O19" s="161"/>
      <c r="P19" s="161"/>
      <c r="Q19" s="160"/>
      <c r="R19" s="160"/>
      <c r="S19" s="161"/>
      <c r="T19" s="161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54"/>
      <c r="AM19" s="154"/>
      <c r="AN19" s="154"/>
      <c r="AO19" s="154"/>
      <c r="AP19" s="154"/>
      <c r="AQ19" s="154"/>
      <c r="AR19" s="154"/>
    </row>
    <row r="20" spans="2:44" s="155" customFormat="1" ht="21" customHeight="1">
      <c r="B20" s="105" t="s">
        <v>123</v>
      </c>
      <c r="C20" s="181" t="s">
        <v>240</v>
      </c>
      <c r="D20" s="181" t="s">
        <v>241</v>
      </c>
      <c r="E20" s="181" t="s">
        <v>240</v>
      </c>
      <c r="F20" s="181" t="s">
        <v>241</v>
      </c>
      <c r="G20" s="106" t="s">
        <v>240</v>
      </c>
      <c r="H20" s="106" t="s">
        <v>241</v>
      </c>
      <c r="I20" s="107" t="s">
        <v>240</v>
      </c>
      <c r="J20" s="107" t="s">
        <v>241</v>
      </c>
      <c r="K20" s="106" t="s">
        <v>240</v>
      </c>
      <c r="L20" s="106" t="s">
        <v>241</v>
      </c>
      <c r="M20" s="153"/>
      <c r="N20" s="154"/>
      <c r="O20" s="161"/>
      <c r="P20" s="161"/>
      <c r="Q20" s="160"/>
      <c r="R20" s="160"/>
      <c r="S20" s="161"/>
      <c r="T20" s="161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54"/>
      <c r="AM20" s="154"/>
      <c r="AN20" s="154"/>
      <c r="AO20" s="154"/>
      <c r="AP20" s="154"/>
      <c r="AQ20" s="154"/>
      <c r="AR20" s="154"/>
    </row>
    <row r="21" spans="2:44" s="155" customFormat="1" ht="21" customHeight="1">
      <c r="B21" s="219" t="s">
        <v>242</v>
      </c>
      <c r="C21" s="63" t="s">
        <v>34</v>
      </c>
      <c r="D21" s="102">
        <f>IF(C21="", "", IF(C21="ใช่", 5, 0))</f>
        <v>0</v>
      </c>
      <c r="E21" s="63" t="s">
        <v>34</v>
      </c>
      <c r="F21" s="102">
        <f>IF(E21="", "", IF(E21="ใช่", 5, 0))</f>
        <v>0</v>
      </c>
      <c r="G21" s="63" t="s">
        <v>34</v>
      </c>
      <c r="H21" s="102">
        <f>IF(G21="", "", IF(G21="ใช่", 5, 0))</f>
        <v>0</v>
      </c>
      <c r="I21" s="63" t="s">
        <v>34</v>
      </c>
      <c r="J21" s="102">
        <f>IF(I21="", "", IF(I21="ใช่", 5, 0))</f>
        <v>0</v>
      </c>
      <c r="K21" s="63" t="s">
        <v>34</v>
      </c>
      <c r="L21" s="102">
        <f>IF(K21="", "", IF(K21="ใช่", 5, 0))</f>
        <v>0</v>
      </c>
      <c r="M21" s="153"/>
      <c r="N21" s="154"/>
      <c r="O21" s="161"/>
      <c r="P21" s="161"/>
      <c r="Q21" s="160"/>
      <c r="R21" s="160"/>
      <c r="S21" s="161"/>
      <c r="T21" s="161"/>
      <c r="U21" s="160"/>
      <c r="V21" s="160"/>
      <c r="W21" s="160"/>
      <c r="X21" s="160"/>
      <c r="Y21" s="160"/>
      <c r="Z21" s="160"/>
      <c r="AA21" s="160"/>
      <c r="AB21" s="160"/>
      <c r="AC21" s="160"/>
      <c r="AD21" s="160"/>
      <c r="AE21" s="160"/>
      <c r="AF21" s="160"/>
      <c r="AG21" s="160"/>
      <c r="AH21" s="160"/>
      <c r="AI21" s="160"/>
      <c r="AJ21" s="160"/>
      <c r="AK21" s="160"/>
      <c r="AL21" s="154"/>
      <c r="AM21" s="154"/>
      <c r="AN21" s="154"/>
      <c r="AO21" s="154"/>
      <c r="AP21" s="154"/>
      <c r="AQ21" s="154"/>
      <c r="AR21" s="154"/>
    </row>
    <row r="22" spans="2:44" s="155" customFormat="1" ht="21" customHeight="1">
      <c r="B22" s="220" t="s">
        <v>260</v>
      </c>
      <c r="C22" s="63" t="s">
        <v>34</v>
      </c>
      <c r="D22" s="235">
        <f t="shared" ref="D22:D25" si="7">IF(C22="", "", IF(C22="ใช่", 2, 1))</f>
        <v>1</v>
      </c>
      <c r="E22" s="63" t="s">
        <v>33</v>
      </c>
      <c r="F22" s="102">
        <f>IF(E22="", "", IF(E22="ใช่", 2, 1))</f>
        <v>2</v>
      </c>
      <c r="G22" s="63" t="s">
        <v>33</v>
      </c>
      <c r="H22" s="225">
        <f t="shared" ref="H22:H25" si="8">IF(G22="", "", IF(G22="ใช่", 2, 1))</f>
        <v>2</v>
      </c>
      <c r="I22" s="63" t="s">
        <v>33</v>
      </c>
      <c r="J22" s="225">
        <f t="shared" ref="J22:J25" si="9">IF(I22="", "", IF(I22="ใช่", 2, 1))</f>
        <v>2</v>
      </c>
      <c r="K22" s="63" t="s">
        <v>33</v>
      </c>
      <c r="L22" s="102">
        <f t="shared" ref="L22:L25" si="10">IF(K22="", "", IF(K22="ใช่", 2, 1))</f>
        <v>2</v>
      </c>
      <c r="M22" s="153"/>
      <c r="N22" s="154"/>
      <c r="O22" s="161"/>
      <c r="P22" s="161"/>
      <c r="Q22" s="160"/>
      <c r="R22" s="160"/>
      <c r="S22" s="161"/>
      <c r="T22" s="161"/>
      <c r="U22" s="160"/>
      <c r="V22" s="160"/>
      <c r="W22" s="160"/>
      <c r="X22" s="160"/>
      <c r="Y22" s="160"/>
      <c r="Z22" s="160"/>
      <c r="AA22" s="160"/>
      <c r="AB22" s="160"/>
      <c r="AC22" s="160"/>
      <c r="AD22" s="160"/>
      <c r="AE22" s="160"/>
      <c r="AF22" s="160"/>
      <c r="AG22" s="160"/>
      <c r="AH22" s="160"/>
      <c r="AI22" s="160"/>
      <c r="AJ22" s="160"/>
      <c r="AK22" s="160"/>
      <c r="AL22" s="154"/>
      <c r="AM22" s="154"/>
      <c r="AN22" s="154"/>
      <c r="AO22" s="154"/>
      <c r="AP22" s="154"/>
      <c r="AQ22" s="154"/>
      <c r="AR22" s="154"/>
    </row>
    <row r="23" spans="2:44" s="155" customFormat="1" ht="21" customHeight="1">
      <c r="B23" s="221" t="s">
        <v>126</v>
      </c>
      <c r="C23" s="182" t="s">
        <v>244</v>
      </c>
      <c r="D23" s="182" t="s">
        <v>244</v>
      </c>
      <c r="E23" s="63" t="s">
        <v>33</v>
      </c>
      <c r="F23" s="224">
        <f>IF(E23="", "", IF(E23="ใช่", 5, 0))</f>
        <v>5</v>
      </c>
      <c r="G23" s="63" t="s">
        <v>34</v>
      </c>
      <c r="H23" s="102">
        <f>IF(G23="", "", IF(G23="ใช่", 5, 0))</f>
        <v>0</v>
      </c>
      <c r="I23" s="63" t="s">
        <v>34</v>
      </c>
      <c r="J23" s="102">
        <f>IF(I23="", "", IF(I23="ใช่", 5, 0))</f>
        <v>0</v>
      </c>
      <c r="K23" s="63" t="s">
        <v>34</v>
      </c>
      <c r="L23" s="102">
        <f>IF(K23="", "", IF(K23="ใช่", 5, 0))</f>
        <v>0</v>
      </c>
      <c r="M23" s="153"/>
      <c r="N23" s="154"/>
      <c r="O23" s="161"/>
      <c r="P23" s="161"/>
      <c r="Q23" s="160"/>
      <c r="R23" s="160"/>
      <c r="S23" s="161"/>
      <c r="T23" s="161"/>
      <c r="U23" s="160"/>
      <c r="V23" s="160"/>
      <c r="W23" s="160"/>
      <c r="X23" s="160"/>
      <c r="Y23" s="160"/>
      <c r="Z23" s="160"/>
      <c r="AA23" s="160"/>
      <c r="AB23" s="160"/>
      <c r="AC23" s="160"/>
      <c r="AD23" s="160"/>
      <c r="AE23" s="160"/>
      <c r="AF23" s="160"/>
      <c r="AG23" s="160"/>
      <c r="AH23" s="160"/>
      <c r="AI23" s="160"/>
      <c r="AJ23" s="160"/>
      <c r="AK23" s="160"/>
      <c r="AL23" s="154"/>
      <c r="AM23" s="154"/>
      <c r="AN23" s="154"/>
      <c r="AO23" s="154"/>
      <c r="AP23" s="154"/>
      <c r="AQ23" s="154"/>
      <c r="AR23" s="154"/>
    </row>
    <row r="24" spans="2:44" s="155" customFormat="1" ht="21" customHeight="1">
      <c r="B24" s="221" t="s">
        <v>214</v>
      </c>
      <c r="C24" s="276"/>
      <c r="D24" s="276"/>
      <c r="E24" s="63"/>
      <c r="F24" s="224"/>
      <c r="G24" s="63"/>
      <c r="H24" s="102"/>
      <c r="I24" s="63"/>
      <c r="J24" s="102"/>
      <c r="K24" s="63"/>
      <c r="L24" s="102"/>
      <c r="M24" s="153"/>
      <c r="N24" s="154"/>
      <c r="O24" s="161"/>
      <c r="P24" s="161"/>
      <c r="Q24" s="160"/>
      <c r="R24" s="160"/>
      <c r="S24" s="161"/>
      <c r="T24" s="161"/>
      <c r="U24" s="160"/>
      <c r="V24" s="160"/>
      <c r="W24" s="160"/>
      <c r="X24" s="160"/>
      <c r="Y24" s="160"/>
      <c r="Z24" s="160"/>
      <c r="AA24" s="160"/>
      <c r="AB24" s="160"/>
      <c r="AC24" s="160"/>
      <c r="AD24" s="160"/>
      <c r="AE24" s="160"/>
      <c r="AF24" s="160"/>
      <c r="AG24" s="160"/>
      <c r="AH24" s="160"/>
      <c r="AI24" s="160"/>
      <c r="AJ24" s="160"/>
      <c r="AK24" s="160"/>
      <c r="AL24" s="154"/>
      <c r="AM24" s="154"/>
      <c r="AN24" s="154"/>
      <c r="AO24" s="154"/>
      <c r="AP24" s="154"/>
      <c r="AQ24" s="154"/>
      <c r="AR24" s="154"/>
    </row>
    <row r="25" spans="2:44" s="155" customFormat="1" ht="21" customHeight="1">
      <c r="B25" s="222" t="s">
        <v>245</v>
      </c>
      <c r="C25" s="91"/>
      <c r="D25" s="104" t="str">
        <f t="shared" si="7"/>
        <v/>
      </c>
      <c r="E25" s="182" t="s">
        <v>244</v>
      </c>
      <c r="F25" s="182" t="s">
        <v>244</v>
      </c>
      <c r="G25" s="63" t="s">
        <v>34</v>
      </c>
      <c r="H25" s="225">
        <f t="shared" si="8"/>
        <v>1</v>
      </c>
      <c r="I25" s="63" t="s">
        <v>33</v>
      </c>
      <c r="J25" s="225">
        <f t="shared" si="9"/>
        <v>2</v>
      </c>
      <c r="K25" s="63" t="s">
        <v>33</v>
      </c>
      <c r="L25" s="102">
        <f t="shared" si="10"/>
        <v>2</v>
      </c>
      <c r="M25" s="153"/>
      <c r="N25" s="154"/>
      <c r="O25" s="161"/>
      <c r="P25" s="161"/>
      <c r="Q25" s="160"/>
      <c r="R25" s="160"/>
      <c r="S25" s="161"/>
      <c r="T25" s="161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  <c r="AF25" s="160"/>
      <c r="AG25" s="160"/>
      <c r="AH25" s="160"/>
      <c r="AI25" s="160"/>
      <c r="AJ25" s="160"/>
      <c r="AK25" s="160"/>
      <c r="AL25" s="154"/>
      <c r="AM25" s="154"/>
      <c r="AN25" s="154"/>
      <c r="AO25" s="154"/>
      <c r="AP25" s="154"/>
      <c r="AQ25" s="154"/>
      <c r="AR25" s="154"/>
    </row>
    <row r="26" spans="2:44" s="155" customFormat="1" ht="21" customHeight="1">
      <c r="B26" s="222"/>
      <c r="C26" s="91"/>
      <c r="D26" s="104"/>
      <c r="E26" s="276"/>
      <c r="F26" s="276"/>
      <c r="G26" s="63"/>
      <c r="H26" s="225"/>
      <c r="I26" s="63"/>
      <c r="J26" s="225"/>
      <c r="K26" s="63"/>
      <c r="L26" s="102"/>
      <c r="M26" s="153"/>
      <c r="N26" s="154"/>
      <c r="O26" s="161"/>
      <c r="P26" s="161"/>
      <c r="Q26" s="160"/>
      <c r="R26" s="160"/>
      <c r="S26" s="161"/>
      <c r="T26" s="161"/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0"/>
      <c r="AF26" s="160"/>
      <c r="AG26" s="160"/>
      <c r="AH26" s="160"/>
      <c r="AI26" s="160"/>
      <c r="AJ26" s="160"/>
      <c r="AK26" s="160"/>
      <c r="AL26" s="154"/>
      <c r="AM26" s="154"/>
      <c r="AN26" s="154"/>
      <c r="AO26" s="154"/>
      <c r="AP26" s="154"/>
      <c r="AQ26" s="154"/>
      <c r="AR26" s="154"/>
    </row>
    <row r="27" spans="2:44" s="155" customFormat="1" ht="21" customHeight="1">
      <c r="B27" s="221" t="s">
        <v>247</v>
      </c>
      <c r="C27" s="91"/>
      <c r="D27" s="104"/>
      <c r="E27" s="91"/>
      <c r="F27" s="104"/>
      <c r="G27" s="178" t="s">
        <v>244</v>
      </c>
      <c r="H27" s="178" t="s">
        <v>244</v>
      </c>
      <c r="I27" s="63" t="s">
        <v>34</v>
      </c>
      <c r="J27" s="102">
        <f>IF(I27="", "", IF(I27="ใช่", 5, 0))</f>
        <v>0</v>
      </c>
      <c r="K27" s="63" t="s">
        <v>33</v>
      </c>
      <c r="L27" s="224">
        <f>IF(K27="", "", IF(K27="ใช่", 5, 0))</f>
        <v>5</v>
      </c>
      <c r="M27" s="153"/>
      <c r="N27" s="154"/>
      <c r="O27" s="161"/>
      <c r="P27" s="161"/>
      <c r="Q27" s="160"/>
      <c r="R27" s="160"/>
      <c r="S27" s="161"/>
      <c r="T27" s="161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160"/>
      <c r="AK27" s="160"/>
      <c r="AL27" s="154"/>
      <c r="AM27" s="154"/>
      <c r="AN27" s="154"/>
      <c r="AO27" s="154"/>
      <c r="AP27" s="154"/>
      <c r="AQ27" s="154"/>
      <c r="AR27" s="154"/>
    </row>
    <row r="28" spans="2:44" s="155" customFormat="1" ht="21" customHeight="1">
      <c r="B28" s="221"/>
      <c r="C28" s="91"/>
      <c r="D28" s="104"/>
      <c r="E28" s="91"/>
      <c r="F28" s="104"/>
      <c r="G28" s="178"/>
      <c r="H28" s="277"/>
      <c r="I28" s="63"/>
      <c r="J28" s="104"/>
      <c r="K28" s="63"/>
      <c r="L28" s="278"/>
      <c r="M28" s="153"/>
      <c r="N28" s="154"/>
      <c r="O28" s="161"/>
      <c r="P28" s="161"/>
      <c r="Q28" s="160"/>
      <c r="R28" s="160"/>
      <c r="S28" s="161"/>
      <c r="T28" s="161"/>
      <c r="U28" s="160"/>
      <c r="V28" s="160"/>
      <c r="W28" s="160"/>
      <c r="X28" s="160"/>
      <c r="Y28" s="160"/>
      <c r="Z28" s="160"/>
      <c r="AA28" s="160"/>
      <c r="AB28" s="160"/>
      <c r="AC28" s="160"/>
      <c r="AD28" s="160"/>
      <c r="AE28" s="160"/>
      <c r="AF28" s="160"/>
      <c r="AG28" s="160"/>
      <c r="AH28" s="160"/>
      <c r="AI28" s="160"/>
      <c r="AJ28" s="160"/>
      <c r="AK28" s="160"/>
      <c r="AL28" s="154"/>
      <c r="AM28" s="154"/>
      <c r="AN28" s="154"/>
      <c r="AO28" s="154"/>
      <c r="AP28" s="154"/>
      <c r="AQ28" s="154"/>
      <c r="AR28" s="154"/>
    </row>
    <row r="29" spans="2:44" s="155" customFormat="1" ht="21" customHeight="1">
      <c r="B29" s="221"/>
      <c r="C29" s="91"/>
      <c r="D29" s="104"/>
      <c r="E29" s="91"/>
      <c r="F29" s="104"/>
      <c r="G29" s="178"/>
      <c r="H29" s="277"/>
      <c r="I29" s="63"/>
      <c r="J29" s="104"/>
      <c r="K29" s="63"/>
      <c r="L29" s="278"/>
      <c r="M29" s="153"/>
      <c r="N29" s="154"/>
      <c r="O29" s="161"/>
      <c r="P29" s="161"/>
      <c r="Q29" s="160"/>
      <c r="R29" s="160"/>
      <c r="S29" s="161"/>
      <c r="T29" s="161"/>
      <c r="U29" s="160"/>
      <c r="V29" s="160"/>
      <c r="W29" s="160"/>
      <c r="X29" s="160"/>
      <c r="Y29" s="160"/>
      <c r="Z29" s="160"/>
      <c r="AA29" s="160"/>
      <c r="AB29" s="160"/>
      <c r="AC29" s="160"/>
      <c r="AD29" s="160"/>
      <c r="AE29" s="160"/>
      <c r="AF29" s="160"/>
      <c r="AG29" s="160"/>
      <c r="AH29" s="160"/>
      <c r="AI29" s="160"/>
      <c r="AJ29" s="160"/>
      <c r="AK29" s="160"/>
      <c r="AL29" s="154"/>
      <c r="AM29" s="154"/>
      <c r="AN29" s="154"/>
      <c r="AO29" s="154"/>
      <c r="AP29" s="154"/>
      <c r="AQ29" s="154"/>
      <c r="AR29" s="154"/>
    </row>
    <row r="30" spans="2:44" s="155" customFormat="1" ht="21" customHeight="1">
      <c r="B30" s="221"/>
      <c r="C30" s="91"/>
      <c r="D30" s="104"/>
      <c r="E30" s="91"/>
      <c r="F30" s="104"/>
      <c r="G30" s="178"/>
      <c r="H30" s="277"/>
      <c r="I30" s="63"/>
      <c r="J30" s="104"/>
      <c r="K30" s="63"/>
      <c r="L30" s="278"/>
      <c r="M30" s="153"/>
      <c r="N30" s="154"/>
      <c r="O30" s="161"/>
      <c r="P30" s="161"/>
      <c r="Q30" s="160"/>
      <c r="R30" s="160"/>
      <c r="S30" s="161"/>
      <c r="T30" s="161"/>
      <c r="U30" s="160"/>
      <c r="V30" s="160"/>
      <c r="W30" s="160"/>
      <c r="X30" s="160"/>
      <c r="Y30" s="160"/>
      <c r="Z30" s="160"/>
      <c r="AA30" s="160"/>
      <c r="AB30" s="160"/>
      <c r="AC30" s="160"/>
      <c r="AD30" s="160"/>
      <c r="AE30" s="160"/>
      <c r="AF30" s="160"/>
      <c r="AG30" s="160"/>
      <c r="AH30" s="160"/>
      <c r="AI30" s="160"/>
      <c r="AJ30" s="160"/>
      <c r="AK30" s="160"/>
      <c r="AL30" s="154"/>
      <c r="AM30" s="154"/>
      <c r="AN30" s="154"/>
      <c r="AO30" s="154"/>
      <c r="AP30" s="154"/>
      <c r="AQ30" s="154"/>
      <c r="AR30" s="154"/>
    </row>
    <row r="31" spans="2:44" s="155" customFormat="1" ht="21" customHeight="1">
      <c r="B31" s="223"/>
      <c r="C31" s="149">
        <f>SUM(D21:D22)</f>
        <v>1</v>
      </c>
      <c r="D31" s="56"/>
      <c r="E31" s="151">
        <f>SUM(F21:F23)</f>
        <v>7</v>
      </c>
      <c r="F31" s="104"/>
      <c r="G31" s="152">
        <f>SUM(H21:H25)</f>
        <v>3</v>
      </c>
      <c r="H31" s="56"/>
      <c r="I31" s="152">
        <f>SUM(J21:J27)</f>
        <v>4</v>
      </c>
      <c r="J31" s="56"/>
      <c r="K31" s="151">
        <f>SUM(L21:L27)</f>
        <v>9</v>
      </c>
      <c r="L31" s="56"/>
      <c r="M31" s="153"/>
      <c r="N31" s="154"/>
      <c r="O31" s="161"/>
      <c r="P31" s="161"/>
      <c r="Q31" s="160"/>
      <c r="R31" s="160"/>
      <c r="S31" s="161"/>
      <c r="T31" s="161"/>
      <c r="U31" s="160"/>
      <c r="V31" s="160"/>
      <c r="W31" s="160"/>
      <c r="X31" s="160"/>
      <c r="Y31" s="160"/>
      <c r="Z31" s="160"/>
      <c r="AA31" s="160"/>
      <c r="AB31" s="160"/>
      <c r="AC31" s="160"/>
      <c r="AD31" s="160"/>
      <c r="AE31" s="160"/>
      <c r="AF31" s="160"/>
      <c r="AG31" s="160"/>
      <c r="AH31" s="160"/>
      <c r="AI31" s="160"/>
      <c r="AJ31" s="160"/>
      <c r="AK31" s="160"/>
      <c r="AL31" s="154"/>
      <c r="AM31" s="154"/>
      <c r="AN31" s="154"/>
      <c r="AO31" s="154"/>
      <c r="AP31" s="154"/>
      <c r="AQ31" s="154"/>
      <c r="AR31" s="154"/>
    </row>
    <row r="32" spans="2:44" s="155" customFormat="1" ht="21" customHeight="1">
      <c r="B32" s="223"/>
      <c r="C32" s="56"/>
      <c r="D32" s="56"/>
      <c r="E32" s="91"/>
      <c r="F32" s="104"/>
      <c r="G32" s="56"/>
      <c r="H32" s="56"/>
      <c r="I32" s="178" t="s">
        <v>244</v>
      </c>
      <c r="J32" s="178" t="s">
        <v>244</v>
      </c>
      <c r="K32" s="178" t="s">
        <v>244</v>
      </c>
      <c r="L32" s="178" t="s">
        <v>244</v>
      </c>
      <c r="M32" s="153"/>
      <c r="N32" s="154"/>
      <c r="O32" s="161"/>
      <c r="P32" s="161"/>
      <c r="Q32" s="160"/>
      <c r="R32" s="160"/>
      <c r="S32" s="161"/>
      <c r="T32" s="161"/>
      <c r="U32" s="160"/>
      <c r="V32" s="160"/>
      <c r="W32" s="160"/>
      <c r="X32" s="160"/>
      <c r="Y32" s="160"/>
      <c r="Z32" s="160"/>
      <c r="AA32" s="160"/>
      <c r="AB32" s="160"/>
      <c r="AC32" s="160"/>
      <c r="AD32" s="160"/>
      <c r="AE32" s="160"/>
      <c r="AF32" s="160"/>
      <c r="AG32" s="160"/>
      <c r="AH32" s="160"/>
      <c r="AI32" s="160"/>
      <c r="AJ32" s="160"/>
      <c r="AK32" s="160"/>
      <c r="AL32" s="154"/>
      <c r="AM32" s="154"/>
      <c r="AN32" s="154"/>
      <c r="AO32" s="154"/>
      <c r="AP32" s="154"/>
      <c r="AQ32" s="154"/>
      <c r="AR32" s="154"/>
    </row>
    <row r="33" spans="2:50" s="155" customFormat="1" ht="24.95" customHeight="1">
      <c r="B33" s="195" t="s">
        <v>248</v>
      </c>
      <c r="C33" s="629" t="s">
        <v>249</v>
      </c>
      <c r="D33" s="630"/>
      <c r="E33" s="560" t="s">
        <v>252</v>
      </c>
      <c r="F33" s="634"/>
      <c r="G33" s="558" t="s">
        <v>250</v>
      </c>
      <c r="H33" s="559"/>
      <c r="I33" s="558" t="s">
        <v>250</v>
      </c>
      <c r="J33" s="559"/>
      <c r="K33" s="635" t="s">
        <v>252</v>
      </c>
      <c r="L33" s="636"/>
      <c r="M33" s="153"/>
      <c r="N33" s="154"/>
      <c r="O33" s="161"/>
      <c r="P33" s="161"/>
      <c r="Q33" s="160"/>
      <c r="R33" s="160"/>
      <c r="S33" s="161"/>
      <c r="T33" s="161"/>
      <c r="U33" s="160"/>
      <c r="V33" s="160"/>
      <c r="W33" s="160"/>
      <c r="X33" s="160"/>
      <c r="Y33" s="160"/>
      <c r="Z33" s="160"/>
      <c r="AA33" s="160"/>
      <c r="AB33" s="160"/>
      <c r="AC33" s="160"/>
      <c r="AD33" s="160"/>
      <c r="AE33" s="160"/>
      <c r="AF33" s="160"/>
      <c r="AG33" s="160"/>
      <c r="AH33" s="160"/>
      <c r="AI33" s="160"/>
      <c r="AJ33" s="160"/>
      <c r="AK33" s="160"/>
      <c r="AL33" s="154"/>
      <c r="AM33" s="154"/>
      <c r="AN33" s="154"/>
      <c r="AO33" s="154"/>
      <c r="AP33" s="154"/>
      <c r="AQ33" s="154"/>
      <c r="AR33" s="154"/>
    </row>
    <row r="34" spans="2:50" s="56" customFormat="1" ht="21" customHeight="1">
      <c r="B34" s="118"/>
      <c r="C34" s="110"/>
      <c r="D34" s="110"/>
      <c r="E34" s="111"/>
      <c r="F34" s="111"/>
      <c r="G34" s="110"/>
      <c r="H34" s="110"/>
      <c r="I34" s="111"/>
      <c r="J34" s="111"/>
      <c r="K34" s="111"/>
      <c r="L34" s="111"/>
      <c r="M34" s="111"/>
      <c r="N34"/>
      <c r="O34" s="162"/>
      <c r="P34" s="162"/>
      <c r="Q34" s="156"/>
      <c r="R34" s="156"/>
      <c r="S34" s="162"/>
      <c r="T34" s="162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/>
      <c r="AM34"/>
      <c r="AN34"/>
      <c r="AO34"/>
      <c r="AP34"/>
      <c r="AQ34"/>
      <c r="AR34"/>
    </row>
    <row r="35" spans="2:50" s="92" customFormat="1" ht="21" customHeight="1" thickBot="1">
      <c r="B35" s="115" t="s">
        <v>261</v>
      </c>
      <c r="C35" s="116"/>
      <c r="D35" s="116"/>
      <c r="E35" s="117"/>
      <c r="F35" s="117"/>
      <c r="G35" s="116"/>
      <c r="H35" s="116"/>
      <c r="I35" s="117"/>
      <c r="J35" s="117"/>
      <c r="K35" s="117"/>
      <c r="L35" s="117"/>
      <c r="M35" s="117"/>
      <c r="N35" s="75"/>
      <c r="O35" s="163"/>
      <c r="P35" s="163"/>
      <c r="Q35" s="164"/>
      <c r="R35" s="164"/>
      <c r="S35" s="163"/>
      <c r="T35" s="163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75"/>
      <c r="AM35" s="75"/>
      <c r="AN35" s="75"/>
      <c r="AO35" s="75"/>
      <c r="AP35" s="75"/>
      <c r="AQ35" s="75"/>
      <c r="AR35" s="75"/>
    </row>
    <row r="36" spans="2:50" s="112" customFormat="1" ht="21" customHeight="1" thickTop="1">
      <c r="C36" s="113"/>
      <c r="D36" s="113"/>
      <c r="E36" s="114"/>
      <c r="F36" s="114"/>
      <c r="G36" s="113"/>
      <c r="H36" s="113"/>
      <c r="I36" s="114"/>
      <c r="J36" s="114"/>
      <c r="K36" s="114"/>
      <c r="L36" s="114"/>
      <c r="M36" s="114"/>
      <c r="N36" s="165"/>
      <c r="O36" s="166"/>
      <c r="P36" s="166"/>
      <c r="Q36" s="193"/>
      <c r="R36" s="167"/>
      <c r="S36" s="166"/>
      <c r="T36" s="166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5"/>
      <c r="AM36" s="165"/>
      <c r="AN36" s="165"/>
      <c r="AO36" s="165"/>
      <c r="AP36" s="165"/>
      <c r="AQ36" s="165"/>
      <c r="AR36" s="165"/>
    </row>
    <row r="37" spans="2:50" s="56" customFormat="1" ht="21" hidden="1" customHeight="1">
      <c r="C37" s="110"/>
      <c r="D37" s="110"/>
      <c r="E37" s="111"/>
      <c r="F37" s="111"/>
      <c r="G37" s="110"/>
      <c r="H37" s="110"/>
      <c r="I37" s="111"/>
      <c r="J37" s="111"/>
      <c r="K37" s="111"/>
      <c r="L37" s="111"/>
      <c r="M37" s="111"/>
      <c r="N37"/>
      <c r="O37" s="162"/>
      <c r="P37" s="162"/>
      <c r="Q37" s="156"/>
      <c r="R37" s="156"/>
      <c r="S37" s="162"/>
      <c r="T37" s="162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/>
      <c r="AM37"/>
      <c r="AN37"/>
      <c r="AO37"/>
      <c r="AP37"/>
      <c r="AQ37"/>
      <c r="AR37"/>
    </row>
    <row r="38" spans="2:50" s="199" customFormat="1" ht="43.5" customHeight="1">
      <c r="B38" s="195" t="s">
        <v>218</v>
      </c>
      <c r="C38" s="196"/>
      <c r="D38" s="196"/>
      <c r="E38" s="197"/>
      <c r="F38" s="197"/>
      <c r="G38" s="198"/>
      <c r="H38" s="198"/>
      <c r="I38" s="197"/>
      <c r="J38" s="197"/>
      <c r="K38" s="197"/>
      <c r="L38" s="197"/>
      <c r="M38" s="197"/>
      <c r="O38" s="198"/>
      <c r="P38" s="198"/>
      <c r="Q38" s="197"/>
      <c r="R38" s="197"/>
      <c r="S38" s="198"/>
      <c r="T38" s="198"/>
      <c r="U38" s="197"/>
      <c r="V38" s="197"/>
      <c r="W38" s="197"/>
      <c r="X38" s="197"/>
      <c r="Y38" s="197"/>
      <c r="Z38" s="197"/>
      <c r="AA38" s="197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</row>
    <row r="39" spans="2:50" s="140" customFormat="1" ht="27.6" customHeight="1">
      <c r="B39" s="610" t="s">
        <v>233</v>
      </c>
      <c r="C39" s="611"/>
      <c r="D39" s="611"/>
      <c r="E39" s="611"/>
      <c r="F39" s="611"/>
      <c r="G39" s="611"/>
      <c r="H39" s="611"/>
      <c r="I39" s="611"/>
      <c r="J39" s="611"/>
      <c r="K39" s="611"/>
      <c r="L39" s="611"/>
      <c r="M39" s="611"/>
      <c r="N39" s="611"/>
      <c r="O39" s="611"/>
      <c r="P39" s="611"/>
      <c r="Q39" s="611"/>
      <c r="R39" s="611"/>
      <c r="S39" s="611"/>
      <c r="T39" s="611"/>
      <c r="U39" s="611"/>
      <c r="V39" s="611"/>
      <c r="W39" s="611"/>
      <c r="X39" s="611"/>
      <c r="Y39" s="611"/>
      <c r="Z39" s="611"/>
      <c r="AA39" s="611"/>
      <c r="AB39" s="611"/>
      <c r="AC39" s="611"/>
      <c r="AD39" s="611"/>
      <c r="AE39" s="611"/>
      <c r="AF39" s="611"/>
      <c r="AG39" s="611"/>
      <c r="AH39" s="611"/>
      <c r="AI39" s="611"/>
      <c r="AJ39" s="211"/>
      <c r="AK39" s="211"/>
    </row>
    <row r="40" spans="2:50" s="264" customFormat="1" ht="44.1" customHeight="1">
      <c r="B40" s="623" t="s">
        <v>262</v>
      </c>
      <c r="C40" s="579" t="s">
        <v>263</v>
      </c>
      <c r="D40" s="579"/>
      <c r="E40" s="579"/>
      <c r="F40" s="579"/>
      <c r="G40" s="579"/>
      <c r="H40" s="579"/>
      <c r="I40" s="579"/>
      <c r="J40" s="579"/>
      <c r="K40" s="261"/>
      <c r="L40" s="575" t="s">
        <v>264</v>
      </c>
      <c r="M40" s="576"/>
      <c r="N40" s="576"/>
      <c r="O40" s="576"/>
      <c r="P40" s="576"/>
      <c r="Q40" s="576"/>
      <c r="R40" s="576"/>
      <c r="S40" s="577"/>
      <c r="T40" s="262"/>
      <c r="U40" s="626" t="s">
        <v>265</v>
      </c>
      <c r="V40" s="627"/>
      <c r="W40" s="627"/>
      <c r="X40" s="627"/>
      <c r="Y40" s="627"/>
      <c r="Z40" s="627"/>
      <c r="AA40" s="627"/>
      <c r="AB40" s="628"/>
      <c r="AC40" s="262"/>
      <c r="AD40" s="262"/>
      <c r="AE40" s="262"/>
      <c r="AF40" s="262"/>
      <c r="AG40" s="262"/>
      <c r="AH40" s="263"/>
      <c r="AI40" s="263"/>
      <c r="AJ40" s="263"/>
      <c r="AK40" s="263"/>
      <c r="AL40" s="263"/>
      <c r="AM40" s="262"/>
      <c r="AN40" s="262"/>
      <c r="AO40" s="262"/>
      <c r="AP40" s="262"/>
      <c r="AQ40" s="262"/>
      <c r="AR40" s="262"/>
      <c r="AW40" s="261"/>
      <c r="AX40" s="261"/>
    </row>
    <row r="41" spans="2:50" s="262" customFormat="1" ht="35.450000000000003" customHeight="1">
      <c r="B41" s="624"/>
      <c r="C41" s="637" t="s">
        <v>266</v>
      </c>
      <c r="D41" s="637"/>
      <c r="E41" s="637"/>
      <c r="F41" s="637"/>
      <c r="G41" s="637"/>
      <c r="H41" s="637"/>
      <c r="I41" s="637"/>
      <c r="J41" s="637"/>
      <c r="L41" s="638" t="s">
        <v>267</v>
      </c>
      <c r="M41" s="639"/>
      <c r="N41" s="639"/>
      <c r="O41" s="639"/>
      <c r="P41" s="639"/>
      <c r="Q41" s="639"/>
      <c r="R41" s="639"/>
      <c r="S41" s="640"/>
      <c r="U41" s="620" t="s">
        <v>268</v>
      </c>
      <c r="V41" s="621"/>
      <c r="W41" s="621"/>
      <c r="X41" s="621"/>
      <c r="Y41" s="621"/>
      <c r="Z41" s="621"/>
      <c r="AA41" s="621"/>
      <c r="AB41" s="622"/>
    </row>
    <row r="42" spans="2:50" s="262" customFormat="1" ht="31.5" customHeight="1">
      <c r="B42" s="625"/>
      <c r="C42" s="582" t="s">
        <v>255</v>
      </c>
      <c r="D42" s="582"/>
      <c r="E42" s="580" t="s">
        <v>256</v>
      </c>
      <c r="F42" s="580"/>
      <c r="G42" s="582" t="s">
        <v>257</v>
      </c>
      <c r="H42" s="582"/>
      <c r="I42" s="580" t="s">
        <v>258</v>
      </c>
      <c r="J42" s="580"/>
      <c r="L42" s="582" t="s">
        <v>255</v>
      </c>
      <c r="M42" s="582"/>
      <c r="N42" s="580" t="s">
        <v>256</v>
      </c>
      <c r="O42" s="580"/>
      <c r="P42" s="582" t="s">
        <v>257</v>
      </c>
      <c r="Q42" s="582"/>
      <c r="R42" s="580" t="s">
        <v>258</v>
      </c>
      <c r="S42" s="580"/>
      <c r="U42" s="581" t="s">
        <v>255</v>
      </c>
      <c r="V42" s="581"/>
      <c r="W42" s="572" t="s">
        <v>256</v>
      </c>
      <c r="X42" s="572"/>
      <c r="Y42" s="581" t="s">
        <v>257</v>
      </c>
      <c r="Z42" s="581"/>
      <c r="AA42" s="572" t="s">
        <v>258</v>
      </c>
      <c r="AB42" s="572"/>
    </row>
    <row r="43" spans="2:50" ht="24">
      <c r="B43" s="208" t="s">
        <v>128</v>
      </c>
      <c r="C43" s="188" t="s">
        <v>6</v>
      </c>
      <c r="D43" s="187" t="s">
        <v>220</v>
      </c>
      <c r="E43" s="109" t="s">
        <v>220</v>
      </c>
      <c r="F43" s="187" t="s">
        <v>220</v>
      </c>
      <c r="G43" s="188" t="s">
        <v>6</v>
      </c>
      <c r="H43" s="187" t="s">
        <v>220</v>
      </c>
      <c r="I43" s="109" t="s">
        <v>220</v>
      </c>
      <c r="J43" s="187" t="s">
        <v>220</v>
      </c>
      <c r="L43" s="188" t="s">
        <v>6</v>
      </c>
      <c r="M43" s="187" t="s">
        <v>220</v>
      </c>
      <c r="N43" s="109" t="s">
        <v>220</v>
      </c>
      <c r="O43" s="187" t="s">
        <v>220</v>
      </c>
      <c r="P43" s="188" t="s">
        <v>6</v>
      </c>
      <c r="Q43" s="187" t="s">
        <v>220</v>
      </c>
      <c r="R43" s="109" t="s">
        <v>220</v>
      </c>
      <c r="S43" s="187" t="s">
        <v>220</v>
      </c>
      <c r="U43" s="190" t="s">
        <v>6</v>
      </c>
      <c r="V43" s="191" t="s">
        <v>220</v>
      </c>
      <c r="W43" s="192" t="s">
        <v>220</v>
      </c>
      <c r="X43" s="191" t="s">
        <v>220</v>
      </c>
      <c r="Y43" s="190" t="s">
        <v>6</v>
      </c>
      <c r="Z43" s="191" t="s">
        <v>220</v>
      </c>
      <c r="AA43" s="192" t="s">
        <v>220</v>
      </c>
      <c r="AB43" s="191" t="s">
        <v>220</v>
      </c>
    </row>
    <row r="44" spans="2:50" ht="24">
      <c r="B44" s="209" t="s">
        <v>130</v>
      </c>
      <c r="C44" s="119" t="s">
        <v>177</v>
      </c>
      <c r="D44" s="61">
        <f>IF(ISNUMBER(SEARCH("ต่ำ",C44)),1,IF(ISNUMBER(SEARCH("กลาง",C44)),2,IF(ISNUMBER(SEARCH("สูง",C44)),3,"")))</f>
        <v>3</v>
      </c>
      <c r="E44" s="119" t="s">
        <v>174</v>
      </c>
      <c r="F44" s="61">
        <f>IF(ISNUMBER(SEARCH("ต่ำ",E44)),1,IF(ISNUMBER(SEARCH("กลาง",E44)),2,IF(ISNUMBER(SEARCH("สูง",E44)),3,"")))</f>
        <v>2</v>
      </c>
      <c r="G44" s="119" t="s">
        <v>177</v>
      </c>
      <c r="H44" s="61">
        <f>IF(ISNUMBER(SEARCH("ต่ำ",G44)),1,IF(ISNUMBER(SEARCH("กลาง",G44)),2,IF(ISNUMBER(SEARCH("สูง",G44)),3,"")))</f>
        <v>3</v>
      </c>
      <c r="I44" s="119" t="s">
        <v>177</v>
      </c>
      <c r="J44" s="61">
        <f>IF(ISNUMBER(SEARCH("ต่ำ",I44)),1,IF(ISNUMBER(SEARCH("กลาง",I44)),2,IF(ISNUMBER(SEARCH("สูง",I44)),3,"")))</f>
        <v>3</v>
      </c>
      <c r="L44" s="119" t="s">
        <v>174</v>
      </c>
      <c r="M44" s="61">
        <f>IF(ISNUMBER(SEARCH("ต่ำ",L44)),1,IF(ISNUMBER(SEARCH("กลาง",L44)),2,IF(ISNUMBER(SEARCH("สูง",L44)),3,"")))</f>
        <v>2</v>
      </c>
      <c r="N44" s="168" t="s">
        <v>171</v>
      </c>
      <c r="O44" s="169">
        <f>IF(ISNUMBER(SEARCH("ต่ำ",N44)),1,IF(ISNUMBER(SEARCH("กลาง",N44)),2,IF(ISNUMBER(SEARCH("สูง",N44)),3,"")))</f>
        <v>1</v>
      </c>
      <c r="P44" s="170" t="s">
        <v>171</v>
      </c>
      <c r="Q44" s="169">
        <f>IF(ISNUMBER(SEARCH("ต่ำ",P44)),1,IF(ISNUMBER(SEARCH("กลาง",P44)),2,IF(ISNUMBER(SEARCH("สูง",P44)),3,"")))</f>
        <v>1</v>
      </c>
      <c r="R44" s="168" t="s">
        <v>174</v>
      </c>
      <c r="S44" s="169">
        <f>IF(ISNUMBER(SEARCH("ต่ำ",R44)),1,IF(ISNUMBER(SEARCH("กลาง",R44)),2,IF(ISNUMBER(SEARCH("สูง",R44)),3,"")))</f>
        <v>2</v>
      </c>
      <c r="U44" s="170" t="s">
        <v>174</v>
      </c>
      <c r="V44" s="169">
        <f>IF(ISNUMBER(SEARCH("ต่ำ",U44)),1,IF(ISNUMBER(SEARCH("กลาง",U44)),2,IF(ISNUMBER(SEARCH("สูง",U44)),3,"")))</f>
        <v>2</v>
      </c>
      <c r="W44" s="170" t="s">
        <v>171</v>
      </c>
      <c r="X44" s="169">
        <f>IF(ISNUMBER(SEARCH("ต่ำ",W44)),1,IF(ISNUMBER(SEARCH("กลาง",W44)),2,IF(ISNUMBER(SEARCH("สูง",W44)),3,"")))</f>
        <v>1</v>
      </c>
      <c r="Y44" s="170" t="s">
        <v>171</v>
      </c>
      <c r="Z44" s="169">
        <f>IF(ISNUMBER(SEARCH("ต่ำ",Y44)),1,IF(ISNUMBER(SEARCH("กลาง",Y44)),2,IF(ISNUMBER(SEARCH("สูง",Y44)),3,"")))</f>
        <v>1</v>
      </c>
      <c r="AA44" s="170" t="s">
        <v>171</v>
      </c>
      <c r="AB44" s="169">
        <f>IF(ISNUMBER(SEARCH("ต่ำ",AA44)),1,IF(ISNUMBER(SEARCH("กลาง",AA44)),2,IF(ISNUMBER(SEARCH("สูง",AA44)),3,"")))</f>
        <v>1</v>
      </c>
    </row>
    <row r="45" spans="2:50" ht="24">
      <c r="B45" s="209" t="s">
        <v>269</v>
      </c>
      <c r="C45" s="119" t="s">
        <v>178</v>
      </c>
      <c r="D45" s="61">
        <f t="shared" ref="D45:D46" si="11">IF(ISNUMBER(SEARCH("ต่ำ",C45)),1,IF(ISNUMBER(SEARCH("กลาง",C45)),2,IF(ISNUMBER(SEARCH("สูง",C45)),3,"")))</f>
        <v>3</v>
      </c>
      <c r="E45" s="119" t="s">
        <v>270</v>
      </c>
      <c r="F45" s="61">
        <f t="shared" ref="F45:F46" si="12">IF(ISNUMBER(SEARCH("ต่ำ",E45)),1,IF(ISNUMBER(SEARCH("กลาง",E45)),2,IF(ISNUMBER(SEARCH("สูง",E45)),3,"")))</f>
        <v>3</v>
      </c>
      <c r="G45" s="119" t="s">
        <v>175</v>
      </c>
      <c r="H45" s="61">
        <f t="shared" ref="H45:H46" si="13">IF(ISNUMBER(SEARCH("ต่ำ",G45)),1,IF(ISNUMBER(SEARCH("กลาง",G45)),2,IF(ISNUMBER(SEARCH("สูง",G45)),3,"")))</f>
        <v>2</v>
      </c>
      <c r="I45" s="119" t="s">
        <v>178</v>
      </c>
      <c r="J45" s="61">
        <f t="shared" ref="J45:J46" si="14">IF(ISNUMBER(SEARCH("ต่ำ",I45)),1,IF(ISNUMBER(SEARCH("กลาง",I45)),2,IF(ISNUMBER(SEARCH("สูง",I45)),3,"")))</f>
        <v>3</v>
      </c>
      <c r="L45" s="119" t="s">
        <v>175</v>
      </c>
      <c r="M45" s="61">
        <f t="shared" ref="M45:M46" si="15">IF(ISNUMBER(SEARCH("ต่ำ",L45)),1,IF(ISNUMBER(SEARCH("กลาง",L45)),2,IF(ISNUMBER(SEARCH("สูง",L45)),3,"")))</f>
        <v>2</v>
      </c>
      <c r="N45" s="168" t="s">
        <v>270</v>
      </c>
      <c r="O45" s="169">
        <f t="shared" ref="O45:O46" si="16">IF(ISNUMBER(SEARCH("ต่ำ",N45)),1,IF(ISNUMBER(SEARCH("กลาง",N45)),2,IF(ISNUMBER(SEARCH("สูง",N45)),3,"")))</f>
        <v>3</v>
      </c>
      <c r="P45" s="170" t="s">
        <v>175</v>
      </c>
      <c r="Q45" s="169">
        <f t="shared" ref="Q45:Q46" si="17">IF(ISNUMBER(SEARCH("ต่ำ",P45)),1,IF(ISNUMBER(SEARCH("กลาง",P45)),2,IF(ISNUMBER(SEARCH("สูง",P45)),3,"")))</f>
        <v>2</v>
      </c>
      <c r="R45" s="168" t="s">
        <v>178</v>
      </c>
      <c r="S45" s="169">
        <f t="shared" ref="S45:S46" si="18">IF(ISNUMBER(SEARCH("ต่ำ",R45)),1,IF(ISNUMBER(SEARCH("กลาง",R45)),2,IF(ISNUMBER(SEARCH("สูง",R45)),3,"")))</f>
        <v>3</v>
      </c>
      <c r="U45" s="170" t="s">
        <v>172</v>
      </c>
      <c r="V45" s="169">
        <f t="shared" ref="V45:V46" si="19">IF(ISNUMBER(SEARCH("ต่ำ",U45)),1,IF(ISNUMBER(SEARCH("กลาง",U45)),2,IF(ISNUMBER(SEARCH("สูง",U45)),3,"")))</f>
        <v>1</v>
      </c>
      <c r="W45" s="170" t="s">
        <v>172</v>
      </c>
      <c r="X45" s="169">
        <f t="shared" ref="X45:X46" si="20">IF(ISNUMBER(SEARCH("ต่ำ",W45)),1,IF(ISNUMBER(SEARCH("กลาง",W45)),2,IF(ISNUMBER(SEARCH("สูง",W45)),3,"")))</f>
        <v>1</v>
      </c>
      <c r="Y45" s="170" t="s">
        <v>175</v>
      </c>
      <c r="Z45" s="169">
        <f t="shared" ref="Z45:Z46" si="21">IF(ISNUMBER(SEARCH("ต่ำ",Y45)),1,IF(ISNUMBER(SEARCH("กลาง",Y45)),2,IF(ISNUMBER(SEARCH("สูง",Y45)),3,"")))</f>
        <v>2</v>
      </c>
      <c r="AA45" s="170" t="s">
        <v>172</v>
      </c>
      <c r="AB45" s="169">
        <f t="shared" ref="AB45:AB46" si="22">IF(ISNUMBER(SEARCH("ต่ำ",AA45)),1,IF(ISNUMBER(SEARCH("กลาง",AA45)),2,IF(ISNUMBER(SEARCH("สูง",AA45)),3,"")))</f>
        <v>1</v>
      </c>
    </row>
    <row r="46" spans="2:50" ht="24">
      <c r="B46" s="210" t="s">
        <v>132</v>
      </c>
      <c r="C46" s="119" t="s">
        <v>179</v>
      </c>
      <c r="D46" s="61">
        <f t="shared" si="11"/>
        <v>3</v>
      </c>
      <c r="E46" s="119" t="s">
        <v>179</v>
      </c>
      <c r="F46" s="61">
        <f t="shared" si="12"/>
        <v>3</v>
      </c>
      <c r="G46" s="119" t="s">
        <v>179</v>
      </c>
      <c r="H46" s="61">
        <f t="shared" si="13"/>
        <v>3</v>
      </c>
      <c r="I46" s="119" t="s">
        <v>176</v>
      </c>
      <c r="J46" s="61">
        <f t="shared" si="14"/>
        <v>2</v>
      </c>
      <c r="L46" s="119" t="s">
        <v>179</v>
      </c>
      <c r="M46" s="61">
        <f t="shared" si="15"/>
        <v>3</v>
      </c>
      <c r="N46" s="168" t="s">
        <v>179</v>
      </c>
      <c r="O46" s="169">
        <f t="shared" si="16"/>
        <v>3</v>
      </c>
      <c r="P46" s="170" t="s">
        <v>179</v>
      </c>
      <c r="Q46" s="169">
        <f t="shared" si="17"/>
        <v>3</v>
      </c>
      <c r="R46" s="168" t="s">
        <v>176</v>
      </c>
      <c r="S46" s="169">
        <f t="shared" si="18"/>
        <v>2</v>
      </c>
      <c r="U46" s="170" t="s">
        <v>173</v>
      </c>
      <c r="V46" s="169">
        <f t="shared" si="19"/>
        <v>1</v>
      </c>
      <c r="W46" s="170" t="s">
        <v>176</v>
      </c>
      <c r="X46" s="169">
        <f t="shared" si="20"/>
        <v>2</v>
      </c>
      <c r="Y46" s="170" t="s">
        <v>173</v>
      </c>
      <c r="Z46" s="169">
        <f t="shared" si="21"/>
        <v>1</v>
      </c>
      <c r="AA46" s="170" t="s">
        <v>176</v>
      </c>
      <c r="AB46" s="169">
        <f t="shared" si="22"/>
        <v>2</v>
      </c>
    </row>
    <row r="47" spans="2:50" ht="24">
      <c r="B47" s="255" t="s">
        <v>271</v>
      </c>
      <c r="C47" s="249" t="str">
        <f>IF(D47=1,"ต่ำ (กระทบ CIA ระดับต่ำ)",IF(D47=2,"กลาง (กระทบ CIA ระดับกลาง",IF(D47=3,"สูง (กระทบ CIA ระดับสูง)","")))</f>
        <v>สูง (กระทบ CIA ระดับสูง)</v>
      </c>
      <c r="D47" s="250">
        <f>ROUND(AVERAGE(D44:D46),0)</f>
        <v>3</v>
      </c>
      <c r="E47" s="249" t="str">
        <f>IF(F47=1,"ต่ำ (กระทบ CIA ระดับต่ำ)",IF(F47=2,"กลาง (กระทบ CIA ระดับกลาง",IF(F47=3,"สูง (กระทบ CIA ระดับสูง)","")))</f>
        <v>สูง (กระทบ CIA ระดับสูง)</v>
      </c>
      <c r="F47" s="250">
        <f>ROUND(AVERAGE(F44:F46),0)</f>
        <v>3</v>
      </c>
      <c r="G47" s="249" t="str">
        <f>IF(H47=1,"ต่ำ (กระทบ CIA ระดับต่ำ)",IF(H47=2,"กลาง (กระทบ CIA ระดับกลาง",IF(H47=3,"สูง (กระทบ CIA ระดับสูง)","")))</f>
        <v>สูง (กระทบ CIA ระดับสูง)</v>
      </c>
      <c r="H47" s="250">
        <f>ROUND(AVERAGE(H44:H46),0)</f>
        <v>3</v>
      </c>
      <c r="I47" s="249" t="str">
        <f>IF(J47=1,"ต่ำ (กระทบ CIA ระดับต่ำ)",IF(J47=2,"กลาง (กระทบ CIA ระดับกลาง",IF(J47=3,"สูง (กระทบ CIA ระดับสูง)","")))</f>
        <v>สูง (กระทบ CIA ระดับสูง)</v>
      </c>
      <c r="J47" s="250">
        <f>ROUND(AVERAGE(J44:J46),0)</f>
        <v>3</v>
      </c>
      <c r="K47" s="251"/>
      <c r="L47" s="249" t="str">
        <f>IF(M47=1,"ต่ำ (กระทบ CIA ระดับต่ำ)",IF(M47=2,"กลาง (กระทบ CIA ระดับกลาง",IF(M47=3,"สูง (กระทบ CIA ระดับสูง)","")))</f>
        <v>กลาง (กระทบ CIA ระดับกลาง</v>
      </c>
      <c r="M47" s="250">
        <f>ROUND(AVERAGE(M44:M46),0)</f>
        <v>2</v>
      </c>
      <c r="N47" s="249" t="str">
        <f>IF(O47=1,"ต่ำ (กระทบ CIA ระดับต่ำ)",IF(O47=2,"กลาง (กระทบ CIA ระดับกลาง",IF(O47=3,"สูง (กระทบ CIA ระดับสูง)","")))</f>
        <v>กลาง (กระทบ CIA ระดับกลาง</v>
      </c>
      <c r="O47" s="250">
        <f>ROUND(AVERAGE(O44:O46),0)</f>
        <v>2</v>
      </c>
      <c r="P47" s="249" t="str">
        <f>IF(Q47=1,"ต่ำ (กระทบ CIA ระดับต่ำ)",IF(Q47=2,"กลาง (กระทบ CIA ระดับกลาง",IF(Q47=3,"สูง (กระทบ CIA ระดับสูง)","")))</f>
        <v>กลาง (กระทบ CIA ระดับกลาง</v>
      </c>
      <c r="Q47" s="250">
        <f>ROUND(AVERAGE(Q44:Q46),0)</f>
        <v>2</v>
      </c>
      <c r="R47" s="252" t="str">
        <f>IF(S47=1,"ต่ำ (กระทบ CIA ระดับต่ำ)",IF(S47=2,"กลาง (กระทบ CIA ระดับกลาง",IF(S47=3,"สูง (กระทบ CIA ระดับสูง)","")))</f>
        <v>กลาง (กระทบ CIA ระดับกลาง</v>
      </c>
      <c r="S47" s="250">
        <f>ROUND(AVERAGE(S44:S46),0)</f>
        <v>2</v>
      </c>
      <c r="T47" s="251"/>
      <c r="U47" s="252" t="str">
        <f>IF(V47=1,"ต่ำ (กระทบ CIA ระดับต่ำ)",IF(V47=2,"กลาง (กระทบ CIA ระดับกลาง",IF(V47=3,"สูง (กระทบ CIA ระดับสูง)","")))</f>
        <v>ต่ำ (กระทบ CIA ระดับต่ำ)</v>
      </c>
      <c r="V47" s="250">
        <f>ROUND(AVERAGE(V44:V46),0)</f>
        <v>1</v>
      </c>
      <c r="W47" s="252" t="str">
        <f>IF(X47=1,"ต่ำ (กระทบ CIA ระดับต่ำ)",IF(X47=2,"กลาง (กระทบ CIA ระดับกลาง",IF(X47=3,"สูง (กระทบ CIA ระดับสูง)","")))</f>
        <v>ต่ำ (กระทบ CIA ระดับต่ำ)</v>
      </c>
      <c r="X47" s="250">
        <f>ROUND(AVERAGE(X44:X46),0)</f>
        <v>1</v>
      </c>
      <c r="Y47" s="252" t="str">
        <f>IF(Z47=1,"ต่ำ (กระทบ CIA ระดับต่ำ)",IF(Z47=2,"กลาง (กระทบ CIA ระดับกลาง",IF(Z47=3,"สูง (กระทบ CIA ระดับสูง)","")))</f>
        <v>ต่ำ (กระทบ CIA ระดับต่ำ)</v>
      </c>
      <c r="Z47" s="250">
        <f>ROUND(AVERAGE(Z44:Z46),0)</f>
        <v>1</v>
      </c>
      <c r="AA47" s="252" t="str">
        <f>IF(AB47=1,"ต่ำ (กระทบ CIA ระดับต่ำ)",IF(AB47=2,"กลาง (กระทบ CIA ระดับกลาง",IF(AB47=3,"สูง (กระทบ CIA ระดับสูง)","")))</f>
        <v>ต่ำ (กระทบ CIA ระดับต่ำ)</v>
      </c>
      <c r="AB47" s="250">
        <f>ROUND(AVERAGE(AB44:AB46),0)</f>
        <v>1</v>
      </c>
    </row>
    <row r="48" spans="2:50" ht="24">
      <c r="B48" s="256" t="s">
        <v>272</v>
      </c>
      <c r="C48" s="253" t="s">
        <v>33</v>
      </c>
      <c r="D48" s="254">
        <f>IF(C48="", "", IF(C48="ใช่", 5, 0))</f>
        <v>5</v>
      </c>
      <c r="E48" s="253" t="s">
        <v>33</v>
      </c>
      <c r="F48" s="254">
        <f>IF(E48="", "", IF(E48="ใช่", 5, 0))</f>
        <v>5</v>
      </c>
      <c r="G48" s="253" t="s">
        <v>33</v>
      </c>
      <c r="H48" s="254">
        <f>IF(G48="", "", IF(G48="ใช่", 5, 0))</f>
        <v>5</v>
      </c>
      <c r="I48" s="253" t="s">
        <v>33</v>
      </c>
      <c r="J48" s="254">
        <f>IF(I48="", "", IF(I48="ใช่", 5, 0))</f>
        <v>5</v>
      </c>
      <c r="K48" s="251"/>
      <c r="L48" s="253" t="s">
        <v>33</v>
      </c>
      <c r="M48" s="254">
        <f>IF(L48="", "", IF(L48="ใช่", 5, 0))</f>
        <v>5</v>
      </c>
      <c r="N48" s="253" t="s">
        <v>33</v>
      </c>
      <c r="O48" s="254">
        <f>IF(N48="", "", IF(N48="ใช่", 5, 0))</f>
        <v>5</v>
      </c>
      <c r="P48" s="253" t="s">
        <v>33</v>
      </c>
      <c r="Q48" s="254">
        <f>IF(P48="", "", IF(P48="ใช่", 5, 0))</f>
        <v>5</v>
      </c>
      <c r="R48" s="253" t="s">
        <v>33</v>
      </c>
      <c r="S48" s="254">
        <f>IF(R48="", "", IF(R48="ใช่", 5, 0))</f>
        <v>5</v>
      </c>
      <c r="T48" s="251"/>
      <c r="U48" s="253" t="s">
        <v>33</v>
      </c>
      <c r="V48" s="254">
        <f>IF(U48="", "", IF(U48="ใช่", 5, 0))</f>
        <v>5</v>
      </c>
      <c r="W48" s="253" t="s">
        <v>33</v>
      </c>
      <c r="X48" s="254">
        <f>IF(W48="", "", IF(W48="ใช่", 5, 0))</f>
        <v>5</v>
      </c>
      <c r="Y48" s="253" t="s">
        <v>33</v>
      </c>
      <c r="Z48" s="254">
        <f>IF(Y48="", "", IF(Y48="ใช่", 5, 0))</f>
        <v>5</v>
      </c>
      <c r="AA48" s="253" t="s">
        <v>33</v>
      </c>
      <c r="AB48" s="254">
        <f>IF(AA48="", "", IF(AA48="ใช่", 5, 0))</f>
        <v>5</v>
      </c>
    </row>
    <row r="49" spans="2:69" ht="27">
      <c r="B49" s="195" t="s">
        <v>224</v>
      </c>
      <c r="C49" s="618" t="str" cm="1">
        <f t="array" ref="C49">_xlfn.IFS(
AND(D47=3,D48=5),"ลับที่สุด",
AND(D47&lt;=3),"เผยแพร่ภายในองค์กร"
)</f>
        <v>ลับที่สุด</v>
      </c>
      <c r="D49" s="619"/>
      <c r="E49" s="618" t="str" cm="1">
        <f t="array" ref="E49">_xlfn.IFS(
AND(F47=3,F48=5),"ลับที่สุด",
AND(F47&lt;=3),"เผยแพร่ภายในองค์กร"
)</f>
        <v>ลับที่สุด</v>
      </c>
      <c r="F49" s="619"/>
      <c r="G49" s="618" t="str" cm="1">
        <f t="array" ref="G49">_xlfn.IFS(
AND(H47=3,H48=5),"ลับที่สุด",
AND(H47&lt;=3),"เผยแพร่ภายในองค์กร"
)</f>
        <v>ลับที่สุด</v>
      </c>
      <c r="H49" s="619"/>
      <c r="I49" s="618" t="str" cm="1">
        <f t="array" ref="I49">_xlfn.IFS(
AND(J47=3,J48=5),"ลับที่สุด",
AND(J47&lt;=3),"เผยแพร่ภายในองค์กร"
)</f>
        <v>ลับที่สุด</v>
      </c>
      <c r="J49" s="619"/>
      <c r="L49" s="594" t="str" cm="1">
        <f t="array" ref="L49">_xlfn.IFS(
AND(M47=3,M48=5),"ลับที่สุด",
AND(M47&lt;=3),"เผยแพร่ภายในองค์กร ต้องประเมินต่อ"
)</f>
        <v>เผยแพร่ภายในองค์กร ต้องประเมินต่อ</v>
      </c>
      <c r="M49" s="595"/>
      <c r="N49" s="594" t="str" cm="1">
        <f t="array" ref="N49">_xlfn.IFS(
AND(O47=3,O48=5),"ลับที่สุด",
AND(O47&lt;=3),"เผยแพร่ภายในองค์กร ต้องประเมินต่อ"
)</f>
        <v>เผยแพร่ภายในองค์กร ต้องประเมินต่อ</v>
      </c>
      <c r="O49" s="595"/>
      <c r="P49" s="594" t="str" cm="1">
        <f t="array" ref="P49">_xlfn.IFS(
AND(Q47=3,Q48=5),"ลับที่สุด",
AND(Q47&lt;=3),"เผยแพร่ภายในองค์กร ต้องประเมินต่อ"
)</f>
        <v>เผยแพร่ภายในองค์กร ต้องประเมินต่อ</v>
      </c>
      <c r="Q49" s="595"/>
      <c r="R49" s="594" t="str" cm="1">
        <f t="array" ref="R49">_xlfn.IFS(
AND(S47=3,S48=5),"ลับที่สุด",
AND(S47&lt;=3),"เผยแพร่ภายในองค์กร ต้องประเมินต่อ"
)</f>
        <v>เผยแพร่ภายในองค์กร ต้องประเมินต่อ</v>
      </c>
      <c r="S49" s="595"/>
      <c r="U49" s="594" t="str" cm="1">
        <f t="array" ref="U49">_xlfn.IFS(
AND(V47=3,V48=5),"ลับที่สุด",
AND(V47&lt;=3),"เผยแพร่ภายในองค์กร ต้องประเมินต่อ"
)</f>
        <v>เผยแพร่ภายในองค์กร ต้องประเมินต่อ</v>
      </c>
      <c r="V49" s="595"/>
      <c r="W49" s="594" t="str" cm="1">
        <f t="array" ref="W49">_xlfn.IFS(
AND(X47=3,X48=5),"ลับที่สุด",
AND(X47&lt;=3),"เผยแพร่ภายในองค์กร ต้องประเมินต่อ"
)</f>
        <v>เผยแพร่ภายในองค์กร ต้องประเมินต่อ</v>
      </c>
      <c r="X49" s="595"/>
      <c r="Y49" s="594" t="str" cm="1">
        <f t="array" ref="Y49">_xlfn.IFS(
AND(Z47=3,Z48=5),"ลับที่สุด",
AND(Z47&lt;=3),"เผยแพร่ภายในองค์กร ต้องประเมินต่อ"
)</f>
        <v>เผยแพร่ภายในองค์กร ต้องประเมินต่อ</v>
      </c>
      <c r="Z49" s="595"/>
      <c r="AA49" s="594" t="str" cm="1">
        <f t="array" ref="AA49">_xlfn.IFS(
AND(AB47=3,AB48=5),"ลับที่สุด",
AND(AB47&lt;=3),"เผยแพร่ภายในองค์กร ต้องประเมินต่อ"
)</f>
        <v>เผยแพร่ภายในองค์กร ต้องประเมินต่อ</v>
      </c>
      <c r="AB49" s="595"/>
    </row>
    <row r="51" spans="2:69" ht="20.45" customHeight="1"/>
    <row r="52" spans="2:69" ht="20.45" customHeight="1">
      <c r="B52" s="650" t="s">
        <v>253</v>
      </c>
      <c r="C52" s="651"/>
      <c r="D52" s="651"/>
      <c r="E52" s="651"/>
      <c r="F52" s="651"/>
      <c r="G52" s="651"/>
      <c r="H52" s="651"/>
      <c r="I52" s="651"/>
      <c r="J52" s="651"/>
      <c r="K52" s="651"/>
      <c r="L52" s="651"/>
      <c r="M52" s="651"/>
      <c r="N52" s="651"/>
      <c r="O52" s="651"/>
      <c r="P52" s="651"/>
      <c r="Q52" s="651"/>
      <c r="R52" s="651"/>
      <c r="S52" s="651"/>
      <c r="T52" s="651"/>
      <c r="U52" s="651"/>
      <c r="V52" s="651"/>
      <c r="W52" s="651"/>
      <c r="X52" s="651"/>
      <c r="Y52" s="651"/>
      <c r="Z52" s="651"/>
      <c r="AA52" s="651"/>
      <c r="AB52" s="651"/>
      <c r="AC52" s="651"/>
      <c r="AD52" s="651"/>
      <c r="AE52" s="651"/>
      <c r="AF52" s="651"/>
      <c r="AG52" s="651"/>
      <c r="AH52" s="651"/>
      <c r="AI52" s="651"/>
      <c r="AO52" s="145"/>
      <c r="AP52" s="146"/>
      <c r="AQ52" s="145"/>
      <c r="AR52" s="146"/>
      <c r="AS52" s="145"/>
      <c r="AT52" s="146"/>
      <c r="AU52" s="145"/>
      <c r="AV52" s="146"/>
      <c r="AZ52" s="145"/>
      <c r="BA52" s="146"/>
      <c r="BB52" s="145"/>
      <c r="BC52" s="146"/>
      <c r="BD52" s="145"/>
      <c r="BE52" s="146"/>
      <c r="BF52" s="145"/>
      <c r="BG52" s="146"/>
      <c r="BJ52" s="145"/>
      <c r="BK52" s="146"/>
      <c r="BL52" s="145"/>
      <c r="BM52" s="146"/>
      <c r="BN52" s="145"/>
      <c r="BO52" s="146"/>
      <c r="BP52" s="145"/>
      <c r="BQ52" s="146"/>
    </row>
    <row r="53" spans="2:69" ht="20.45" customHeight="1">
      <c r="C53" s="609" t="s">
        <v>273</v>
      </c>
      <c r="D53" s="609"/>
      <c r="E53" s="609"/>
      <c r="F53" s="609"/>
      <c r="G53" s="609"/>
      <c r="H53" s="609"/>
      <c r="I53" s="609"/>
      <c r="J53" s="609"/>
      <c r="L53" s="605" t="s">
        <v>274</v>
      </c>
      <c r="M53" s="605"/>
      <c r="N53" s="605"/>
      <c r="O53" s="605"/>
      <c r="P53" s="605"/>
      <c r="Q53" s="605"/>
      <c r="R53" s="605"/>
      <c r="S53" s="605"/>
      <c r="U53" s="606" t="s">
        <v>275</v>
      </c>
      <c r="V53" s="607"/>
      <c r="W53" s="607"/>
      <c r="X53" s="607"/>
      <c r="Y53" s="607"/>
      <c r="Z53" s="607"/>
      <c r="AA53" s="607"/>
      <c r="AB53" s="608"/>
      <c r="AO53" s="145"/>
      <c r="AP53" s="146"/>
      <c r="AQ53" s="145"/>
      <c r="AR53" s="146"/>
      <c r="AS53" s="145"/>
      <c r="AT53" s="146"/>
      <c r="AU53" s="145"/>
      <c r="AV53" s="146"/>
      <c r="AZ53" s="145"/>
      <c r="BA53" s="146"/>
      <c r="BB53" s="145"/>
      <c r="BC53" s="146"/>
      <c r="BD53" s="145"/>
      <c r="BE53" s="146"/>
      <c r="BF53" s="145"/>
      <c r="BG53" s="146"/>
      <c r="BJ53" s="145"/>
      <c r="BK53" s="146"/>
      <c r="BL53" s="145"/>
      <c r="BM53" s="146"/>
      <c r="BN53" s="145"/>
      <c r="BO53" s="146"/>
      <c r="BP53" s="145"/>
      <c r="BQ53" s="146"/>
    </row>
    <row r="54" spans="2:69" ht="20.45" customHeight="1">
      <c r="C54" s="591" t="s">
        <v>266</v>
      </c>
      <c r="D54" s="592"/>
      <c r="E54" s="592"/>
      <c r="F54" s="592"/>
      <c r="G54" s="592"/>
      <c r="H54" s="592"/>
      <c r="I54" s="592"/>
      <c r="J54" s="593"/>
      <c r="L54" s="138" t="s">
        <v>276</v>
      </c>
      <c r="M54" s="138"/>
      <c r="N54" s="138"/>
      <c r="O54" s="138"/>
      <c r="P54" s="138"/>
      <c r="Q54" s="138"/>
      <c r="R54" s="138"/>
      <c r="S54" s="138"/>
      <c r="U54" s="631" t="s">
        <v>268</v>
      </c>
      <c r="V54" s="632"/>
      <c r="W54" s="632"/>
      <c r="X54" s="632"/>
      <c r="Y54" s="632"/>
      <c r="Z54" s="632"/>
      <c r="AA54" s="632"/>
      <c r="AB54" s="633"/>
      <c r="AO54" s="145"/>
      <c r="AP54" s="146"/>
      <c r="AQ54" s="145"/>
      <c r="AR54" s="146"/>
      <c r="AS54" s="145"/>
      <c r="AT54" s="146"/>
      <c r="AU54" s="145"/>
      <c r="AV54" s="146"/>
      <c r="AZ54" s="145"/>
      <c r="BA54" s="146"/>
      <c r="BB54" s="145"/>
      <c r="BC54" s="146"/>
      <c r="BD54" s="145"/>
      <c r="BE54" s="146"/>
      <c r="BF54" s="145"/>
      <c r="BG54" s="146"/>
      <c r="BJ54" s="145"/>
      <c r="BK54" s="146"/>
      <c r="BL54" s="145"/>
      <c r="BM54" s="146"/>
      <c r="BN54" s="145"/>
      <c r="BO54" s="146"/>
      <c r="BP54" s="145"/>
      <c r="BQ54" s="146"/>
    </row>
    <row r="55" spans="2:69" ht="20.45" customHeight="1">
      <c r="C55" s="189" t="s">
        <v>255</v>
      </c>
      <c r="D55" s="189"/>
      <c r="E55" s="186" t="s">
        <v>256</v>
      </c>
      <c r="F55" s="186"/>
      <c r="G55" s="189" t="s">
        <v>257</v>
      </c>
      <c r="H55" s="189"/>
      <c r="I55" s="186" t="s">
        <v>258</v>
      </c>
      <c r="J55" s="186"/>
      <c r="L55" s="189" t="s">
        <v>255</v>
      </c>
      <c r="M55" s="189"/>
      <c r="N55" s="186" t="s">
        <v>256</v>
      </c>
      <c r="O55" s="186"/>
      <c r="P55" s="189" t="s">
        <v>257</v>
      </c>
      <c r="Q55" s="189"/>
      <c r="R55" s="186" t="s">
        <v>258</v>
      </c>
      <c r="S55" s="186"/>
      <c r="U55" s="189" t="s">
        <v>255</v>
      </c>
      <c r="V55" s="189"/>
      <c r="W55" s="186" t="s">
        <v>256</v>
      </c>
      <c r="X55" s="186"/>
      <c r="Y55" s="189" t="s">
        <v>257</v>
      </c>
      <c r="Z55" s="189"/>
      <c r="AA55" s="186" t="s">
        <v>258</v>
      </c>
      <c r="AB55" s="186"/>
      <c r="AO55" s="145"/>
      <c r="AP55" s="146"/>
      <c r="AQ55" s="145"/>
      <c r="AR55" s="146"/>
      <c r="AS55" s="145"/>
      <c r="AT55" s="146"/>
      <c r="AU55" s="145"/>
      <c r="AV55" s="146"/>
      <c r="AZ55" s="145"/>
      <c r="BA55" s="146"/>
      <c r="BB55" s="145"/>
      <c r="BC55" s="146"/>
      <c r="BD55" s="145"/>
      <c r="BE55" s="146"/>
      <c r="BF55" s="145"/>
      <c r="BG55" s="146"/>
      <c r="BJ55" s="145"/>
      <c r="BK55" s="146"/>
      <c r="BL55" s="145"/>
      <c r="BM55" s="146"/>
      <c r="BN55" s="145"/>
      <c r="BO55" s="146"/>
      <c r="BP55" s="145"/>
      <c r="BQ55" s="146"/>
    </row>
    <row r="56" spans="2:69" ht="20.45" customHeight="1">
      <c r="B56" s="108" t="s">
        <v>128</v>
      </c>
      <c r="C56" s="188" t="s">
        <v>6</v>
      </c>
      <c r="D56" s="187" t="s">
        <v>220</v>
      </c>
      <c r="E56" s="109" t="s">
        <v>220</v>
      </c>
      <c r="F56" s="187" t="s">
        <v>220</v>
      </c>
      <c r="G56" s="188" t="s">
        <v>6</v>
      </c>
      <c r="H56" s="187" t="s">
        <v>220</v>
      </c>
      <c r="I56" s="109" t="s">
        <v>220</v>
      </c>
      <c r="J56" s="187" t="s">
        <v>220</v>
      </c>
      <c r="L56" s="188" t="s">
        <v>6</v>
      </c>
      <c r="M56" s="187" t="s">
        <v>220</v>
      </c>
      <c r="N56" s="109" t="s">
        <v>220</v>
      </c>
      <c r="O56" s="187" t="s">
        <v>220</v>
      </c>
      <c r="P56" s="188" t="s">
        <v>6</v>
      </c>
      <c r="Q56" s="187" t="s">
        <v>220</v>
      </c>
      <c r="R56" s="109" t="s">
        <v>220</v>
      </c>
      <c r="S56" s="187" t="s">
        <v>220</v>
      </c>
      <c r="U56" s="188" t="s">
        <v>6</v>
      </c>
      <c r="V56" s="187" t="s">
        <v>220</v>
      </c>
      <c r="W56" s="109" t="s">
        <v>220</v>
      </c>
      <c r="X56" s="187" t="s">
        <v>220</v>
      </c>
      <c r="Y56" s="188" t="s">
        <v>6</v>
      </c>
      <c r="Z56" s="187" t="s">
        <v>220</v>
      </c>
      <c r="AA56" s="109" t="s">
        <v>220</v>
      </c>
      <c r="AB56" s="187" t="s">
        <v>220</v>
      </c>
      <c r="AO56" s="145"/>
      <c r="AP56" s="146"/>
      <c r="AQ56" s="145"/>
      <c r="AR56" s="146"/>
      <c r="AS56" s="145"/>
      <c r="AT56" s="146"/>
      <c r="AU56" s="145"/>
      <c r="AV56" s="146"/>
      <c r="AZ56" s="145"/>
      <c r="BA56" s="146"/>
      <c r="BB56" s="145"/>
      <c r="BC56" s="146"/>
      <c r="BD56" s="145"/>
      <c r="BE56" s="146"/>
      <c r="BF56" s="145"/>
      <c r="BG56" s="146"/>
      <c r="BJ56" s="145"/>
      <c r="BK56" s="146"/>
      <c r="BL56" s="145"/>
      <c r="BM56" s="146"/>
      <c r="BN56" s="145"/>
      <c r="BO56" s="146"/>
      <c r="BP56" s="145"/>
      <c r="BQ56" s="146"/>
    </row>
    <row r="57" spans="2:69" ht="33" customHeight="1">
      <c r="B57" s="65" t="s">
        <v>130</v>
      </c>
      <c r="C57" s="119" t="s">
        <v>177</v>
      </c>
      <c r="D57" s="61">
        <f>IF(ISNUMBER(SEARCH("ต่ำ",C57)),1,IF(ISNUMBER(SEARCH("กลาง",C57)),2,IF(ISNUMBER(SEARCH("สูง",C57)),3,"")))</f>
        <v>3</v>
      </c>
      <c r="E57" s="119" t="s">
        <v>174</v>
      </c>
      <c r="F57" s="61">
        <f>IF(ISNUMBER(SEARCH("ต่ำ",E57)),1,IF(ISNUMBER(SEARCH("กลาง",E57)),2,IF(ISNUMBER(SEARCH("สูง",E57)),3,"")))</f>
        <v>2</v>
      </c>
      <c r="G57" s="119" t="s">
        <v>177</v>
      </c>
      <c r="H57" s="61">
        <f>IF(ISNUMBER(SEARCH("ต่ำ",G57)),1,IF(ISNUMBER(SEARCH("กลาง",G57)),2,IF(ISNUMBER(SEARCH("สูง",G57)),3,"")))</f>
        <v>3</v>
      </c>
      <c r="I57" s="119" t="s">
        <v>177</v>
      </c>
      <c r="J57" s="61">
        <f>IF(ISNUMBER(SEARCH("ต่ำ",I57)),1,IF(ISNUMBER(SEARCH("กลาง",I57)),2,IF(ISNUMBER(SEARCH("สูง",I57)),3,"")))</f>
        <v>3</v>
      </c>
      <c r="L57" s="119" t="s">
        <v>174</v>
      </c>
      <c r="M57" s="61">
        <f>IF(ISNUMBER(SEARCH("ต่ำ",L57)),1,IF(ISNUMBER(SEARCH("กลาง",L57)),2,IF(ISNUMBER(SEARCH("สูง",L57)),3,"")))</f>
        <v>2</v>
      </c>
      <c r="N57" s="170" t="s">
        <v>171</v>
      </c>
      <c r="O57" s="169">
        <f>IF(ISNUMBER(SEARCH("ต่ำ",N57)),1,IF(ISNUMBER(SEARCH("กลาง",N57)),2,IF(ISNUMBER(SEARCH("สูง",N57)),3,"")))</f>
        <v>1</v>
      </c>
      <c r="P57" s="170" t="s">
        <v>171</v>
      </c>
      <c r="Q57" s="169">
        <f>IF(ISNUMBER(SEARCH("ต่ำ",P57)),1,IF(ISNUMBER(SEARCH("กลาง",P57)),2,IF(ISNUMBER(SEARCH("สูง",P57)),3,"")))</f>
        <v>1</v>
      </c>
      <c r="R57" s="170" t="s">
        <v>174</v>
      </c>
      <c r="S57" s="169">
        <f>IF(ISNUMBER(SEARCH("ต่ำ",R57)),1,IF(ISNUMBER(SEARCH("กลาง",R57)),2,IF(ISNUMBER(SEARCH("สูง",R57)),3,"")))</f>
        <v>2</v>
      </c>
      <c r="U57" s="170" t="s">
        <v>174</v>
      </c>
      <c r="V57" s="169">
        <f>IF(ISNUMBER(SEARCH("ต่ำ",U57)),1,IF(ISNUMBER(SEARCH("กลาง",U57)),2,IF(ISNUMBER(SEARCH("สูง",U57)),3,"")))</f>
        <v>2</v>
      </c>
      <c r="W57" s="170" t="s">
        <v>171</v>
      </c>
      <c r="X57" s="169">
        <f>IF(ISNUMBER(SEARCH("ต่ำ",W57)),1,IF(ISNUMBER(SEARCH("กลาง",W57)),2,IF(ISNUMBER(SEARCH("สูง",W57)),3,"")))</f>
        <v>1</v>
      </c>
      <c r="Y57" s="170" t="s">
        <v>171</v>
      </c>
      <c r="Z57" s="169">
        <f>IF(ISNUMBER(SEARCH("ต่ำ",Y57)),1,IF(ISNUMBER(SEARCH("กลาง",Y57)),2,IF(ISNUMBER(SEARCH("สูง",Y57)),3,"")))</f>
        <v>1</v>
      </c>
      <c r="AA57" s="170" t="s">
        <v>171</v>
      </c>
      <c r="AB57" s="169">
        <f>IF(ISNUMBER(SEARCH("ต่ำ",AA57)),1,IF(ISNUMBER(SEARCH("กลาง",AA57)),2,IF(ISNUMBER(SEARCH("สูง",AA57)),3,"")))</f>
        <v>1</v>
      </c>
      <c r="AO57" s="145"/>
      <c r="AP57" s="146"/>
      <c r="AQ57" s="145"/>
      <c r="AR57" s="146"/>
      <c r="AS57" s="145"/>
      <c r="AT57" s="146"/>
      <c r="AU57" s="145"/>
      <c r="AV57" s="146"/>
      <c r="AZ57" s="145"/>
      <c r="BA57" s="146"/>
      <c r="BB57" s="145"/>
      <c r="BC57" s="146"/>
      <c r="BD57" s="145"/>
      <c r="BE57" s="146"/>
      <c r="BF57" s="145"/>
      <c r="BG57" s="146"/>
      <c r="BJ57" s="145"/>
      <c r="BK57" s="146"/>
      <c r="BL57" s="145"/>
      <c r="BM57" s="146"/>
      <c r="BN57" s="145"/>
      <c r="BO57" s="146"/>
      <c r="BP57" s="145"/>
      <c r="BQ57" s="146"/>
    </row>
    <row r="58" spans="2:69" ht="20.45" customHeight="1">
      <c r="B58" s="65" t="s">
        <v>269</v>
      </c>
      <c r="C58" s="119" t="s">
        <v>178</v>
      </c>
      <c r="D58" s="61">
        <f t="shared" ref="D58:D59" si="23">IF(ISNUMBER(SEARCH("ต่ำ",C58)),1,IF(ISNUMBER(SEARCH("กลาง",C58)),2,IF(ISNUMBER(SEARCH("สูง",C58)),3,"")))</f>
        <v>3</v>
      </c>
      <c r="E58" s="119" t="s">
        <v>270</v>
      </c>
      <c r="F58" s="61">
        <f t="shared" ref="F58:F59" si="24">IF(ISNUMBER(SEARCH("ต่ำ",E58)),1,IF(ISNUMBER(SEARCH("กลาง",E58)),2,IF(ISNUMBER(SEARCH("สูง",E58)),3,"")))</f>
        <v>3</v>
      </c>
      <c r="G58" s="119" t="s">
        <v>175</v>
      </c>
      <c r="H58" s="61">
        <f t="shared" ref="H58:H59" si="25">IF(ISNUMBER(SEARCH("ต่ำ",G58)),1,IF(ISNUMBER(SEARCH("กลาง",G58)),2,IF(ISNUMBER(SEARCH("สูง",G58)),3,"")))</f>
        <v>2</v>
      </c>
      <c r="I58" s="119" t="s">
        <v>178</v>
      </c>
      <c r="J58" s="61">
        <f t="shared" ref="J58:J59" si="26">IF(ISNUMBER(SEARCH("ต่ำ",I58)),1,IF(ISNUMBER(SEARCH("กลาง",I58)),2,IF(ISNUMBER(SEARCH("สูง",I58)),3,"")))</f>
        <v>3</v>
      </c>
      <c r="L58" s="119" t="s">
        <v>175</v>
      </c>
      <c r="M58" s="61">
        <f t="shared" ref="M58:M59" si="27">IF(ISNUMBER(SEARCH("ต่ำ",L58)),1,IF(ISNUMBER(SEARCH("กลาง",L58)),2,IF(ISNUMBER(SEARCH("สูง",L58)),3,"")))</f>
        <v>2</v>
      </c>
      <c r="N58" s="170" t="s">
        <v>270</v>
      </c>
      <c r="O58" s="169">
        <f t="shared" ref="O58:O59" si="28">IF(ISNUMBER(SEARCH("ต่ำ",N58)),1,IF(ISNUMBER(SEARCH("กลาง",N58)),2,IF(ISNUMBER(SEARCH("สูง",N58)),3,"")))</f>
        <v>3</v>
      </c>
      <c r="P58" s="170" t="s">
        <v>175</v>
      </c>
      <c r="Q58" s="169">
        <f t="shared" ref="Q58:Q59" si="29">IF(ISNUMBER(SEARCH("ต่ำ",P58)),1,IF(ISNUMBER(SEARCH("กลาง",P58)),2,IF(ISNUMBER(SEARCH("สูง",P58)),3,"")))</f>
        <v>2</v>
      </c>
      <c r="R58" s="170" t="s">
        <v>178</v>
      </c>
      <c r="S58" s="169">
        <f t="shared" ref="S58:S59" si="30">IF(ISNUMBER(SEARCH("ต่ำ",R58)),1,IF(ISNUMBER(SEARCH("กลาง",R58)),2,IF(ISNUMBER(SEARCH("สูง",R58)),3,"")))</f>
        <v>3</v>
      </c>
      <c r="U58" s="170" t="s">
        <v>172</v>
      </c>
      <c r="V58" s="169">
        <f t="shared" ref="V58:V59" si="31">IF(ISNUMBER(SEARCH("ต่ำ",U58)),1,IF(ISNUMBER(SEARCH("กลาง",U58)),2,IF(ISNUMBER(SEARCH("สูง",U58)),3,"")))</f>
        <v>1</v>
      </c>
      <c r="W58" s="170" t="s">
        <v>172</v>
      </c>
      <c r="X58" s="169">
        <f t="shared" ref="X58:X59" si="32">IF(ISNUMBER(SEARCH("ต่ำ",W58)),1,IF(ISNUMBER(SEARCH("กลาง",W58)),2,IF(ISNUMBER(SEARCH("สูง",W58)),3,"")))</f>
        <v>1</v>
      </c>
      <c r="Y58" s="170" t="s">
        <v>175</v>
      </c>
      <c r="Z58" s="169">
        <f t="shared" ref="Z58:Z59" si="33">IF(ISNUMBER(SEARCH("ต่ำ",Y58)),1,IF(ISNUMBER(SEARCH("กลาง",Y58)),2,IF(ISNUMBER(SEARCH("สูง",Y58)),3,"")))</f>
        <v>2</v>
      </c>
      <c r="AA58" s="170" t="s">
        <v>172</v>
      </c>
      <c r="AB58" s="169">
        <f t="shared" ref="AB58:AB59" si="34">IF(ISNUMBER(SEARCH("ต่ำ",AA58)),1,IF(ISNUMBER(SEARCH("กลาง",AA58)),2,IF(ISNUMBER(SEARCH("สูง",AA58)),3,"")))</f>
        <v>1</v>
      </c>
      <c r="AO58" s="145"/>
      <c r="AP58" s="146"/>
      <c r="AQ58" s="145"/>
      <c r="AR58" s="146"/>
      <c r="AS58" s="145"/>
      <c r="AT58" s="146"/>
      <c r="AU58" s="145"/>
      <c r="AV58" s="146"/>
      <c r="AZ58" s="145"/>
      <c r="BA58" s="146"/>
      <c r="BB58" s="145"/>
      <c r="BC58" s="146"/>
      <c r="BD58" s="145"/>
      <c r="BE58" s="146"/>
      <c r="BF58" s="145"/>
      <c r="BG58" s="146"/>
      <c r="BJ58" s="145"/>
      <c r="BK58" s="146"/>
      <c r="BL58" s="145"/>
      <c r="BM58" s="146"/>
      <c r="BN58" s="145"/>
      <c r="BO58" s="146"/>
      <c r="BP58" s="145"/>
      <c r="BQ58" s="146"/>
    </row>
    <row r="59" spans="2:69" ht="20.45" customHeight="1">
      <c r="B59" s="66" t="s">
        <v>132</v>
      </c>
      <c r="C59" s="119" t="s">
        <v>179</v>
      </c>
      <c r="D59" s="61">
        <f t="shared" si="23"/>
        <v>3</v>
      </c>
      <c r="E59" s="119" t="s">
        <v>179</v>
      </c>
      <c r="F59" s="61">
        <f t="shared" si="24"/>
        <v>3</v>
      </c>
      <c r="G59" s="119" t="s">
        <v>179</v>
      </c>
      <c r="H59" s="61">
        <f t="shared" si="25"/>
        <v>3</v>
      </c>
      <c r="I59" s="119" t="s">
        <v>179</v>
      </c>
      <c r="J59" s="61">
        <f t="shared" si="26"/>
        <v>3</v>
      </c>
      <c r="L59" s="119" t="s">
        <v>179</v>
      </c>
      <c r="M59" s="61">
        <f t="shared" si="27"/>
        <v>3</v>
      </c>
      <c r="N59" s="170" t="s">
        <v>179</v>
      </c>
      <c r="O59" s="169">
        <f t="shared" si="28"/>
        <v>3</v>
      </c>
      <c r="P59" s="170" t="s">
        <v>179</v>
      </c>
      <c r="Q59" s="169">
        <f t="shared" si="29"/>
        <v>3</v>
      </c>
      <c r="R59" s="170" t="s">
        <v>176</v>
      </c>
      <c r="S59" s="169">
        <f t="shared" si="30"/>
        <v>2</v>
      </c>
      <c r="U59" s="170" t="s">
        <v>173</v>
      </c>
      <c r="V59" s="169">
        <f t="shared" si="31"/>
        <v>1</v>
      </c>
      <c r="W59" s="170" t="s">
        <v>176</v>
      </c>
      <c r="X59" s="169">
        <f t="shared" si="32"/>
        <v>2</v>
      </c>
      <c r="Y59" s="170" t="s">
        <v>173</v>
      </c>
      <c r="Z59" s="169">
        <f t="shared" si="33"/>
        <v>1</v>
      </c>
      <c r="AA59" s="170" t="s">
        <v>176</v>
      </c>
      <c r="AB59" s="169">
        <f t="shared" si="34"/>
        <v>2</v>
      </c>
      <c r="AO59" s="145"/>
      <c r="AP59" s="146"/>
      <c r="AQ59" s="145"/>
      <c r="AR59" s="146"/>
      <c r="AS59" s="145"/>
      <c r="AT59" s="146"/>
      <c r="AU59" s="145"/>
      <c r="AV59" s="146"/>
      <c r="AZ59" s="145"/>
      <c r="BA59" s="146"/>
      <c r="BB59" s="145"/>
      <c r="BC59" s="146"/>
      <c r="BD59" s="145"/>
      <c r="BE59" s="146"/>
      <c r="BF59" s="145"/>
      <c r="BG59" s="146"/>
      <c r="BJ59" s="145"/>
      <c r="BK59" s="146"/>
      <c r="BL59" s="145"/>
      <c r="BM59" s="146"/>
      <c r="BN59" s="145"/>
      <c r="BO59" s="146"/>
      <c r="BP59" s="145"/>
      <c r="BQ59" s="146"/>
    </row>
    <row r="60" spans="2:69" ht="20.45" customHeight="1">
      <c r="B60" s="255" t="s">
        <v>271</v>
      </c>
      <c r="C60" s="58" t="str">
        <f>IF(D60=1,"ต่ำ (กระทบ CIA ระดับต่ำ)",IF(D60=2,"กลาง (กระทบ CIA ระดับกลาง",IF(D60=3,"สูง (กระทบ CIA ระดับสูง)","")))</f>
        <v>สูง (กระทบ CIA ระดับสูง)</v>
      </c>
      <c r="D60" s="238">
        <f>ROUND(AVERAGE(D57:D59),0)</f>
        <v>3</v>
      </c>
      <c r="E60" s="58" t="str">
        <f>IF(F60=1,"ต่ำ (กระทบ CIA ระดับต่ำ)",IF(F60=2,"กลาง (กระทบ CIA ระดับกลาง",IF(F60=3,"สูง (กระทบ CIA ระดับสูง)","")))</f>
        <v>สูง (กระทบ CIA ระดับสูง)</v>
      </c>
      <c r="F60" s="238">
        <f>ROUND(AVERAGE(F57:F59),0)</f>
        <v>3</v>
      </c>
      <c r="G60" s="58" t="str">
        <f>IF(H60=1,"ต่ำ (กระทบ CIA ระดับต่ำ)",IF(H60=2,"กลาง (กระทบ CIA ระดับกลาง",IF(H60=3,"สูง (กระทบ CIA ระดับสูง)","")))</f>
        <v>สูง (กระทบ CIA ระดับสูง)</v>
      </c>
      <c r="H60" s="238">
        <f>ROUND(AVERAGE(H57:H59),0)</f>
        <v>3</v>
      </c>
      <c r="I60" s="58" t="str">
        <f>IF(J60=1,"ต่ำ (กระทบ CIA ระดับต่ำ)",IF(J60=2,"กลาง (กระทบ CIA ระดับกลาง",IF(J60=3,"สูง (กระทบ CIA ระดับสูง)","")))</f>
        <v>สูง (กระทบ CIA ระดับสูง)</v>
      </c>
      <c r="J60" s="238">
        <f>ROUND(AVERAGE(J57:J59),0)</f>
        <v>3</v>
      </c>
      <c r="L60" s="58" t="str">
        <f>IF(M60=1,"ต่ำ (กระทบ CIA ระดับต่ำ)",IF(M60=2,"กลาง (กระทบ CIA ระดับกลาง",IF(M60=3,"สูง (กระทบ CIA ระดับสูง)","")))</f>
        <v>กลาง (กระทบ CIA ระดับกลาง</v>
      </c>
      <c r="M60" s="238">
        <f>ROUND(AVERAGE(M57:M59),0)</f>
        <v>2</v>
      </c>
      <c r="N60" s="58" t="str">
        <f>IF(O60=1,"ต่ำ (กระทบ CIA ระดับต่ำ)",IF(O60=2,"กลาง (กระทบ CIA ระดับกลาง",IF(O60=3,"สูง (กระทบ CIA ระดับสูง)","")))</f>
        <v>กลาง (กระทบ CIA ระดับกลาง</v>
      </c>
      <c r="O60" s="238">
        <f>ROUND(AVERAGE(O57:O59),0)</f>
        <v>2</v>
      </c>
      <c r="P60" s="58" t="str">
        <f>IF(Q60=1,"ต่ำ (กระทบ CIA ระดับต่ำ)",IF(Q60=2,"กลาง (กระทบ CIA ระดับกลาง",IF(Q60=3,"สูง (กระทบ CIA ระดับสูง)","")))</f>
        <v>กลาง (กระทบ CIA ระดับกลาง</v>
      </c>
      <c r="Q60" s="238">
        <f>ROUND(AVERAGE(Q57:Q59),0)</f>
        <v>2</v>
      </c>
      <c r="R60" s="240" t="str">
        <f>IF(S60=1,"ต่ำ (กระทบ CIA ระดับต่ำ)",IF(S60=2,"กลาง (กระทบ CIA ระดับกลาง",IF(S60=3,"สูง (กระทบ CIA ระดับสูง)","")))</f>
        <v>กลาง (กระทบ CIA ระดับกลาง</v>
      </c>
      <c r="S60" s="238">
        <f>ROUND(AVERAGE(S57:S59),0)</f>
        <v>2</v>
      </c>
      <c r="U60" s="58" t="str">
        <f>IF(V60=1,"ต่ำ (กระทบ CIA ระดับต่ำ)",IF(V60=2,"กลาง (กระทบ CIA ระดับกลาง",IF(V60=3,"สูง (กระทบ CIA ระดับสูง)","")))</f>
        <v>ต่ำ (กระทบ CIA ระดับต่ำ)</v>
      </c>
      <c r="V60" s="238">
        <f>ROUND(AVERAGE(V57:V59),0)</f>
        <v>1</v>
      </c>
      <c r="W60" s="58" t="str">
        <f>IF(X60=1,"ต่ำ (กระทบ CIA ระดับต่ำ)",IF(X60=2,"กลาง (กระทบ CIA ระดับกลาง",IF(X60=3,"สูง (กระทบ CIA ระดับสูง)","")))</f>
        <v>ต่ำ (กระทบ CIA ระดับต่ำ)</v>
      </c>
      <c r="X60" s="238">
        <f>ROUND(AVERAGE(X57:X59),0)</f>
        <v>1</v>
      </c>
      <c r="Y60" s="58" t="str">
        <f>IF(Z60=1,"ต่ำ (กระทบ CIA ระดับต่ำ)",IF(Z60=2,"กลาง (กระทบ CIA ระดับกลาง",IF(Z60=3,"สูง (กระทบ CIA ระดับสูง)","")))</f>
        <v>ต่ำ (กระทบ CIA ระดับต่ำ)</v>
      </c>
      <c r="Z60" s="238">
        <f>ROUND(AVERAGE(Z57:Z59),0)</f>
        <v>1</v>
      </c>
      <c r="AA60" s="240" t="str">
        <f>IF(AB60=1,"ต่ำ (กระทบ CIA ระดับต่ำ)",IF(AB60=2,"กลาง (กระทบ CIA ระดับกลาง",IF(AB60=3,"สูง (กระทบ CIA ระดับสูง)","")))</f>
        <v>ต่ำ (กระทบ CIA ระดับต่ำ)</v>
      </c>
      <c r="AB60" s="238">
        <f>ROUND(AVERAGE(AB57:AB59),0)</f>
        <v>1</v>
      </c>
      <c r="AO60" s="145"/>
      <c r="AP60" s="146"/>
      <c r="AQ60" s="145"/>
      <c r="AR60" s="146"/>
      <c r="AS60" s="145"/>
      <c r="AT60" s="146"/>
      <c r="AU60" s="145"/>
      <c r="AV60" s="146"/>
      <c r="AZ60" s="145"/>
      <c r="BA60" s="146"/>
      <c r="BB60" s="145"/>
      <c r="BC60" s="146"/>
      <c r="BD60" s="145"/>
      <c r="BE60" s="146"/>
      <c r="BF60" s="145"/>
      <c r="BG60" s="146"/>
      <c r="BJ60" s="145"/>
      <c r="BK60" s="146"/>
      <c r="BL60" s="145"/>
      <c r="BM60" s="146"/>
      <c r="BN60" s="145"/>
      <c r="BO60" s="146"/>
      <c r="BP60" s="145"/>
      <c r="BQ60" s="146"/>
    </row>
    <row r="61" spans="2:69" ht="20.45" customHeight="1">
      <c r="B61" s="256" t="s">
        <v>272</v>
      </c>
      <c r="C61" s="63" t="s">
        <v>34</v>
      </c>
      <c r="D61" s="254">
        <f>IF(C61="", "", IF(C61="ใช่", 5, 0))</f>
        <v>0</v>
      </c>
      <c r="E61" s="63" t="s">
        <v>34</v>
      </c>
      <c r="F61" s="254">
        <f>IF(E61="", "", IF(E61="ใช่", 5, 0))</f>
        <v>0</v>
      </c>
      <c r="G61" s="63" t="s">
        <v>34</v>
      </c>
      <c r="H61" s="254">
        <f>IF(G61="", "", IF(G61="ใช่", 5, 0))</f>
        <v>0</v>
      </c>
      <c r="I61" s="63" t="s">
        <v>34</v>
      </c>
      <c r="J61" s="254">
        <f>IF(I61="", "", IF(I61="ใช่", 5, 0))</f>
        <v>0</v>
      </c>
      <c r="K61" s="150"/>
      <c r="L61" s="236" t="s">
        <v>33</v>
      </c>
      <c r="M61" s="237">
        <f>IF(L61="", "", IF(L61="ใช่", 5, 1))</f>
        <v>5</v>
      </c>
      <c r="N61" s="236" t="s">
        <v>33</v>
      </c>
      <c r="O61" s="254">
        <f>IF(N61="", "", IF(N61="ใช่", 5, 0))</f>
        <v>5</v>
      </c>
      <c r="P61" s="236" t="s">
        <v>33</v>
      </c>
      <c r="Q61" s="254">
        <f>IF(P61="", "", IF(P61="ใช่", 5, 0))</f>
        <v>5</v>
      </c>
      <c r="R61" s="236" t="s">
        <v>33</v>
      </c>
      <c r="S61" s="254">
        <f>IF(R61="", "", IF(R61="ใช่", 5, 0))</f>
        <v>5</v>
      </c>
      <c r="T61" s="150"/>
      <c r="U61" s="236" t="s">
        <v>33</v>
      </c>
      <c r="V61" s="254">
        <f>IF(U61="", "", IF(U61="ใช่", 5, 0))</f>
        <v>5</v>
      </c>
      <c r="W61" s="236" t="s">
        <v>33</v>
      </c>
      <c r="X61" s="254">
        <f>IF(W61="", "", IF(W61="ใช่", 5, 0))</f>
        <v>5</v>
      </c>
      <c r="Y61" s="236" t="s">
        <v>33</v>
      </c>
      <c r="Z61" s="254">
        <f>IF(Y61="", "", IF(Y61="ใช่", 5, 0))</f>
        <v>5</v>
      </c>
      <c r="AA61" s="236" t="s">
        <v>33</v>
      </c>
      <c r="AB61" s="254">
        <f>IF(AA61="", "", IF(AA61="ใช่", 5, 0))</f>
        <v>5</v>
      </c>
      <c r="AO61" s="145"/>
      <c r="AP61" s="146"/>
      <c r="AQ61" s="145"/>
      <c r="AR61" s="146"/>
      <c r="AS61" s="145"/>
      <c r="AT61" s="146"/>
      <c r="AU61" s="145"/>
      <c r="AV61" s="146"/>
      <c r="AZ61" s="145"/>
      <c r="BA61" s="146"/>
      <c r="BB61" s="145"/>
      <c r="BC61" s="146"/>
      <c r="BD61" s="145"/>
      <c r="BE61" s="146"/>
      <c r="BF61" s="145"/>
      <c r="BG61" s="146"/>
      <c r="BJ61" s="145"/>
      <c r="BK61" s="146"/>
      <c r="BL61" s="145"/>
      <c r="BM61" s="146"/>
      <c r="BN61" s="145"/>
      <c r="BO61" s="146"/>
      <c r="BP61" s="145"/>
      <c r="BQ61" s="146"/>
    </row>
    <row r="62" spans="2:69" ht="27">
      <c r="B62" s="195" t="s">
        <v>224</v>
      </c>
      <c r="C62" s="594" t="str" cm="1">
        <f t="array" ref="C62">_xlfn.IFS(
AND(D60=3,D61=5),"ลับที่สุด",
AND(D60&lt;=3),"เผยแพร่ภายในองค์กร ต้องประเมินต่อ"
)</f>
        <v>เผยแพร่ภายในองค์กร ต้องประเมินต่อ</v>
      </c>
      <c r="D62" s="595"/>
      <c r="E62" s="594" t="str" cm="1">
        <f t="array" ref="E62">_xlfn.IFS(
AND(F60=3,F61=5),"ลับที่สุด",
AND(F60&lt;=3),"เผยแพร่ภายในองค์กร ต้องประเมินต่อ"
)</f>
        <v>เผยแพร่ภายในองค์กร ต้องประเมินต่อ</v>
      </c>
      <c r="F62" s="595"/>
      <c r="G62" s="594" t="str" cm="1">
        <f t="array" ref="G62">_xlfn.IFS(
AND(H60=3,H61=5),"ลับที่สุด",
AND(H60&lt;=3),"เผยแพร่ภายในองค์กร ต้องประเมินต่อ"
)</f>
        <v>เผยแพร่ภายในองค์กร ต้องประเมินต่อ</v>
      </c>
      <c r="H62" s="595"/>
      <c r="I62" s="594" t="str" cm="1">
        <f t="array" ref="I62">_xlfn.IFS(
AND(J60=3,J61=5),"ลับที่สุด",
AND(J60&lt;=3),"เผยแพร่ภายในองค์กร ต้องประเมินต่อ"
)</f>
        <v>เผยแพร่ภายในองค์กร ต้องประเมินต่อ</v>
      </c>
      <c r="J62" s="595"/>
      <c r="L62" s="594" t="str" cm="1">
        <f t="array" ref="L62">_xlfn.IFS(
AND(M60=3,M61=5),"ลับที่สุด",
AND(M60&lt;=3),"เผยแพร่ภายในองค์กร ต้องประเมินต่อ"
)</f>
        <v>เผยแพร่ภายในองค์กร ต้องประเมินต่อ</v>
      </c>
      <c r="M62" s="595"/>
      <c r="N62" s="594" t="str" cm="1">
        <f t="array" ref="N62">_xlfn.IFS(
AND(O60=3,O61=5),"ลับที่สุด",
AND(O60&lt;=3),"เผยแพร่ภายในองค์กร ต้องประเมินต่อ"
)</f>
        <v>เผยแพร่ภายในองค์กร ต้องประเมินต่อ</v>
      </c>
      <c r="O62" s="595"/>
      <c r="P62" s="594" t="str" cm="1">
        <f t="array" ref="P62">_xlfn.IFS(
AND(Q60=3,Q61=5),"ลับที่สุด",
AND(Q60&lt;=3),"เผยแพร่ภายในองค์กร ต้องประเมินต่อ"
)</f>
        <v>เผยแพร่ภายในองค์กร ต้องประเมินต่อ</v>
      </c>
      <c r="Q62" s="595"/>
      <c r="R62" s="594" t="str" cm="1">
        <f t="array" ref="R62">_xlfn.IFS(
AND(S60=3,S61=5),"ลับที่สุด",
AND(S60&lt;=3),"เผยแพร่ภายในองค์กร ต้องประเมินต่อ"
)</f>
        <v>เผยแพร่ภายในองค์กร ต้องประเมินต่อ</v>
      </c>
      <c r="S62" s="595"/>
      <c r="U62" s="594" t="str" cm="1">
        <f t="array" ref="U62">_xlfn.IFS(
AND(V60=3,V61=5),"ลับที่สุด",
AND(V60&lt;=3),"เผยแพร่ภายในองค์กร ต้องประเมินต่อ"
)</f>
        <v>เผยแพร่ภายในองค์กร ต้องประเมินต่อ</v>
      </c>
      <c r="V62" s="595"/>
      <c r="W62" s="594" t="str" cm="1">
        <f t="array" ref="W62">_xlfn.IFS(
AND(X60=3,X61=5),"ลับที่สุด",
AND(X60&lt;=3),"เผยแพร่ภายในองค์กร ต้องประเมินต่อ"
)</f>
        <v>เผยแพร่ภายในองค์กร ต้องประเมินต่อ</v>
      </c>
      <c r="X62" s="595"/>
      <c r="Y62" s="594" t="str" cm="1">
        <f t="array" ref="Y62">_xlfn.IFS(
AND(Z60=3,Z61=5),"ลับที่สุด",
AND(Z60&lt;=3),"เผยแพร่ภายในองค์กร ต้องประเมินต่อ"
)</f>
        <v>เผยแพร่ภายในองค์กร ต้องประเมินต่อ</v>
      </c>
      <c r="Z62" s="595"/>
      <c r="AA62" s="594" t="str" cm="1">
        <f t="array" ref="AA62">_xlfn.IFS(
AND(AB60=3,AB61=5),"ลับที่สุด",
AND(AB60&lt;=3),"เผยแพร่ภายในองค์กร ต้องประเมินต่อ"
)</f>
        <v>เผยแพร่ภายในองค์กร ต้องประเมินต่อ</v>
      </c>
      <c r="AB62" s="595"/>
    </row>
    <row r="63" spans="2:69" ht="14.45" thickBot="1"/>
    <row r="64" spans="2:69" s="139" customFormat="1" ht="14.45" thickTop="1"/>
    <row r="66" spans="2:44" ht="54" customHeight="1">
      <c r="B66" s="566" t="s">
        <v>277</v>
      </c>
      <c r="C66" s="567"/>
      <c r="D66" s="568"/>
      <c r="E66" s="194"/>
      <c r="F66" s="194"/>
      <c r="G66" s="194"/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4"/>
      <c r="Y66" s="194"/>
    </row>
    <row r="67" spans="2:44" s="140" customFormat="1" ht="27">
      <c r="B67" s="563" t="s">
        <v>278</v>
      </c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</row>
    <row r="68" spans="2:44" s="56" customFormat="1" ht="27" customHeight="1">
      <c r="B68" s="564"/>
      <c r="C68" s="590" t="s">
        <v>279</v>
      </c>
      <c r="D68" s="590"/>
      <c r="E68" s="590"/>
      <c r="F68" s="590"/>
      <c r="G68" s="590"/>
      <c r="J68" s="590" t="s">
        <v>280</v>
      </c>
      <c r="K68" s="590"/>
      <c r="L68" s="590"/>
      <c r="M68" s="590"/>
      <c r="N68" s="590"/>
      <c r="Q68" s="615" t="s">
        <v>281</v>
      </c>
      <c r="R68" s="616"/>
      <c r="S68" s="616"/>
      <c r="T68" s="616"/>
      <c r="U68" s="617"/>
      <c r="V68"/>
      <c r="W68"/>
      <c r="X68" s="569" t="s">
        <v>282</v>
      </c>
      <c r="Y68" s="570"/>
      <c r="Z68" s="570"/>
      <c r="AA68" s="570"/>
      <c r="AB68" s="571"/>
      <c r="AC68"/>
      <c r="AD68"/>
      <c r="AE68" s="599" t="s">
        <v>283</v>
      </c>
      <c r="AF68" s="600"/>
      <c r="AG68" s="600"/>
      <c r="AH68" s="600"/>
      <c r="AI68" s="601"/>
      <c r="AJ68"/>
      <c r="AK68"/>
      <c r="AL68" s="585" t="s">
        <v>284</v>
      </c>
      <c r="AM68" s="586"/>
      <c r="AN68" s="586"/>
      <c r="AO68" s="586"/>
      <c r="AP68" s="587"/>
      <c r="AQ68"/>
      <c r="AR68"/>
    </row>
    <row r="69" spans="2:44" s="56" customFormat="1" ht="104.1" customHeight="1">
      <c r="B69" s="565"/>
      <c r="C69" s="591" t="s">
        <v>285</v>
      </c>
      <c r="D69" s="592"/>
      <c r="E69" s="592"/>
      <c r="F69" s="592"/>
      <c r="G69" s="593"/>
      <c r="H69"/>
      <c r="I69" s="125"/>
      <c r="J69" s="591" t="s">
        <v>286</v>
      </c>
      <c r="K69" s="592"/>
      <c r="L69" s="592"/>
      <c r="M69" s="592"/>
      <c r="N69" s="593"/>
      <c r="Q69" s="596" t="s">
        <v>287</v>
      </c>
      <c r="R69" s="597"/>
      <c r="S69" s="597"/>
      <c r="T69" s="597"/>
      <c r="U69" s="598"/>
      <c r="V69"/>
      <c r="W69"/>
      <c r="X69" s="644" t="s">
        <v>288</v>
      </c>
      <c r="Y69" s="645"/>
      <c r="Z69" s="645"/>
      <c r="AA69" s="645"/>
      <c r="AB69" s="646"/>
      <c r="AC69"/>
      <c r="AD69"/>
      <c r="AE69" s="612" t="s">
        <v>289</v>
      </c>
      <c r="AF69" s="613"/>
      <c r="AG69" s="613"/>
      <c r="AH69" s="613"/>
      <c r="AI69" s="614"/>
      <c r="AJ69"/>
      <c r="AK69"/>
      <c r="AL69" s="602" t="s">
        <v>290</v>
      </c>
      <c r="AM69" s="603"/>
      <c r="AN69" s="603"/>
      <c r="AO69" s="603"/>
      <c r="AP69" s="604"/>
      <c r="AQ69"/>
      <c r="AR69"/>
    </row>
    <row r="70" spans="2:44" s="129" customFormat="1" ht="41.1" customHeight="1">
      <c r="B70" s="126" t="s">
        <v>5</v>
      </c>
      <c r="C70" s="127" t="s">
        <v>6</v>
      </c>
      <c r="D70" s="130" t="s">
        <v>291</v>
      </c>
      <c r="E70" s="128" t="s">
        <v>8</v>
      </c>
      <c r="F70" s="130" t="s">
        <v>292</v>
      </c>
      <c r="G70" s="130" t="s">
        <v>293</v>
      </c>
      <c r="J70" s="127" t="s">
        <v>6</v>
      </c>
      <c r="K70" s="131" t="s">
        <v>294</v>
      </c>
      <c r="L70" s="127" t="s">
        <v>8</v>
      </c>
      <c r="M70" s="131" t="s">
        <v>295</v>
      </c>
      <c r="N70" s="131" t="s">
        <v>293</v>
      </c>
      <c r="Q70" s="127" t="s">
        <v>6</v>
      </c>
      <c r="R70" s="131" t="s">
        <v>294</v>
      </c>
      <c r="S70" s="127" t="s">
        <v>8</v>
      </c>
      <c r="T70" s="185" t="s">
        <v>295</v>
      </c>
      <c r="U70" s="130" t="s">
        <v>293</v>
      </c>
      <c r="X70" s="127" t="s">
        <v>6</v>
      </c>
      <c r="Y70" s="131" t="s">
        <v>294</v>
      </c>
      <c r="Z70" s="127" t="s">
        <v>8</v>
      </c>
      <c r="AA70" s="185" t="s">
        <v>295</v>
      </c>
      <c r="AB70" s="130" t="s">
        <v>293</v>
      </c>
      <c r="AE70" s="127" t="s">
        <v>6</v>
      </c>
      <c r="AF70" s="131" t="s">
        <v>294</v>
      </c>
      <c r="AG70" s="127" t="s">
        <v>8</v>
      </c>
      <c r="AH70" s="185" t="s">
        <v>295</v>
      </c>
      <c r="AI70" s="130" t="s">
        <v>293</v>
      </c>
      <c r="AL70" s="127" t="s">
        <v>6</v>
      </c>
      <c r="AM70" s="131" t="s">
        <v>294</v>
      </c>
      <c r="AN70" s="127" t="s">
        <v>8</v>
      </c>
      <c r="AO70" s="185" t="s">
        <v>295</v>
      </c>
      <c r="AP70" s="130" t="s">
        <v>293</v>
      </c>
    </row>
    <row r="71" spans="2:44" ht="27.95" customHeight="1">
      <c r="B71" s="65" t="s">
        <v>15</v>
      </c>
      <c r="C71" s="57" t="s">
        <v>16</v>
      </c>
      <c r="D71" s="94">
        <f>IF(ISNUMBER(SEARCH("ต่ำ",C71)),1,IF(ISNUMBER(SEARCH("กลาง",C71)),2,IF(ISNUMBER(SEARCH("สูง",C71)),3,"")))</f>
        <v>3</v>
      </c>
      <c r="E71" s="64" t="s">
        <v>17</v>
      </c>
      <c r="F71" s="95">
        <f>IF(E71="น้อยมาก (แทบจะไม่เกิด หรือปีละ 1 ครั้ง)",1, IF(E71="น้อยครั้ง (ปีละไม่เกิน 2 ครั้ง)",2, IF(E71="บางครั้ง  (ไตรมาสละ 1  ครั้ง)",3, IF(E71="สูง (ปีละ 6-10 ครั้ง)",4, IF(E71="สูงมาก (ขั้นต่ำเดือนละครั้ง)",5,"")))))</f>
        <v>5</v>
      </c>
      <c r="G71" s="96">
        <f>D71*F71</f>
        <v>15</v>
      </c>
      <c r="J71" s="132" t="s">
        <v>16</v>
      </c>
      <c r="K71" s="94">
        <f>IF(ISNUMBER(SEARCH("ต่ำ",J71)),1,IF(ISNUMBER(SEARCH("กลาง",J71)),2,IF(ISNUMBER(SEARCH("สูง",J71)),3,"")))</f>
        <v>3</v>
      </c>
      <c r="L71" s="134" t="s">
        <v>17</v>
      </c>
      <c r="M71" s="95">
        <f>IF(L71="น้อยมาก (แทบจะไม่เกิด หรือปีละ 1 ครั้ง)",1, IF(L71="น้อยครั้ง (ปีละไม่เกิน 2 ครั้ง)",2, IF(L71="บางครั้ง  (ไตรมาสละ 1  ครั้ง)",3, IF(L71="สูง (ปีละ 6-10 ครั้ง)",4, IF(L71="สูงมาก (ขั้นต่ำเดือนละครั้ง)",5,"")))))</f>
        <v>5</v>
      </c>
      <c r="N71" s="96">
        <f>K71*M71</f>
        <v>15</v>
      </c>
      <c r="Q71" s="132" t="s">
        <v>16</v>
      </c>
      <c r="R71" s="94">
        <f>IF(ISNUMBER(SEARCH("ต่ำ",Q71)),1,IF(ISNUMBER(SEARCH("กลาง",Q71)),2,IF(ISNUMBER(SEARCH("สูง",Q71)),3,"")))</f>
        <v>3</v>
      </c>
      <c r="S71" s="134" t="s">
        <v>25</v>
      </c>
      <c r="T71" s="74">
        <f>IF(S71="น้อยมาก (แทบจะไม่เกิด หรือปีละ 1 ครั้ง)",1, IF(S71="น้อยครั้ง (ปีละไม่เกิน 2 ครั้ง)",2, IF(S71="บางครั้ง  (ไตรมาสละ 1  ครั้ง)",3, IF(S71="สูง (ปีละ 6-10 ครั้ง)",4, IF(S71="สูงมาก (ขั้นต่ำเดือนละครั้ง)",5,"")))))</f>
        <v>3</v>
      </c>
      <c r="U71" s="74">
        <f>R71*T71</f>
        <v>9</v>
      </c>
      <c r="X71" s="172" t="s">
        <v>187</v>
      </c>
      <c r="Y71" s="94">
        <f>IF(ISNUMBER(SEARCH("ต่ำ",X71)),1,IF(ISNUMBER(SEARCH("กลาง",X71)),2,IF(ISNUMBER(SEARCH("สูง",X71)),3,"")))</f>
        <v>1</v>
      </c>
      <c r="Z71" s="134" t="s">
        <v>190</v>
      </c>
      <c r="AA71" s="95">
        <f>IF(Z71="น้อยมาก (แทบจะไม่เกิด หรือปีละ 1 ครั้ง)",1, IF(Z71="น้อยครั้ง (ปีละไม่เกิน 2 ครั้ง)",2, IF(Z71="บางครั้ง  (ไตรมาสละ 1  ครั้ง)",3, IF(Z71="สูง (ปีละ 6-10 ครั้ง)",4, IF(Z71="สูงมาก (ขั้นต่ำเดือนละครั้ง)",5,"")))))</f>
        <v>1</v>
      </c>
      <c r="AB71" s="96">
        <f>Y71*AA71</f>
        <v>1</v>
      </c>
      <c r="AE71" s="172" t="s">
        <v>187</v>
      </c>
      <c r="AF71" s="214">
        <f>IF(ISNUMBER(SEARCH("ต่ำ",AE71)),1,IF(ISNUMBER(SEARCH("กลาง",AE71)),2,IF(ISNUMBER(SEARCH("สูง",AE71)),3,"")))</f>
        <v>1</v>
      </c>
      <c r="AG71" s="134" t="s">
        <v>190</v>
      </c>
      <c r="AH71" s="74">
        <f>IF(AG71="น้อยมาก (แทบจะไม่เกิด หรือปีละ 1 ครั้ง)",1, IF(AG71="น้อยครั้ง (ปีละไม่เกิน 2 ครั้ง)",2, IF(AG71="บางครั้ง  (ไตรมาสละ 1  ครั้ง)",3, IF(AG71="สูง (ปีละ 6-10 ครั้ง)",4, IF(AG71="สูงมาก (ขั้นต่ำเดือนละครั้ง)",5,"")))))</f>
        <v>1</v>
      </c>
      <c r="AI71" s="74">
        <f>AF71*AH71</f>
        <v>1</v>
      </c>
      <c r="AL71" s="172" t="s">
        <v>187</v>
      </c>
      <c r="AM71" s="214">
        <f>IF(ISNUMBER(SEARCH("ต่ำ",AL71)),1,IF(ISNUMBER(SEARCH("กลาง",AL71)),2,IF(ISNUMBER(SEARCH("สูง",AL71)),3,"")))</f>
        <v>1</v>
      </c>
      <c r="AN71" s="134" t="s">
        <v>190</v>
      </c>
      <c r="AO71" s="74">
        <f>IF(AN71="น้อยมาก (แทบจะไม่เกิด หรือปีละ 1 ครั้ง)",1, IF(AN71="น้อยครั้ง (ปีละไม่เกิน 2 ครั้ง)",2, IF(AN71="บางครั้ง  (ไตรมาสละ 1  ครั้ง)",3, IF(AN71="สูง (ปีละ 6-10 ครั้ง)",4, IF(AN71="สูงมาก (ขั้นต่ำเดือนละครั้ง)",5,"")))))</f>
        <v>1</v>
      </c>
      <c r="AP71" s="74">
        <f>AM71*AO71</f>
        <v>1</v>
      </c>
    </row>
    <row r="72" spans="2:44" ht="24">
      <c r="B72" s="65" t="s">
        <v>18</v>
      </c>
      <c r="C72" s="57" t="s">
        <v>19</v>
      </c>
      <c r="D72" s="74">
        <f>IF(ISNUMBER(SEARCH("ต่ำ",C72)),1,IF(ISNUMBER(SEARCH("กลาง",C72)),2,IF(ISNUMBER(SEARCH("สูง",C72)),3,"")))</f>
        <v>3</v>
      </c>
      <c r="E72" s="57" t="s">
        <v>27</v>
      </c>
      <c r="F72" s="68">
        <f>IF(E72="น้อยมาก (แทบจะไม่เกิด หรือปีละ 1 ครั้ง)",1, IF(E72="น้อยครั้ง (ปีละไม่เกิน 2 ครั้ง)",2, IF(E72="บางครั้ง  (ไตรมาสละ 1  ครั้ง)",3, IF(E72="สูง (ปีละ 6-10 ครั้ง)",4, IF(E72="สูงมาก (ขั้นต่ำเดือนละครั้ง)",5,"")))))</f>
        <v>2</v>
      </c>
      <c r="G72" s="82">
        <f>D72*F72</f>
        <v>6</v>
      </c>
      <c r="J72" s="132" t="s">
        <v>19</v>
      </c>
      <c r="K72" s="74">
        <f>IF(ISNUMBER(SEARCH("ต่ำ",J72)),1,IF(ISNUMBER(SEARCH("กลาง",J72)),2,IF(ISNUMBER(SEARCH("สูง",J72)),3,"")))</f>
        <v>3</v>
      </c>
      <c r="L72" s="132" t="s">
        <v>27</v>
      </c>
      <c r="M72" s="68">
        <f>IF(L72="น้อยมาก (แทบจะไม่เกิด หรือปีละ 1 ครั้ง)",1, IF(L72="น้อยครั้ง (ปีละไม่เกิน 2 ครั้ง)",2, IF(L72="บางครั้ง  (ไตรมาสละ 1  ครั้ง)",3, IF(L72="สูง (ปีละ 6-10 ครั้ง)",4, IF(L72="สูงมาก (ขั้นต่ำเดือนละครั้ง)",5,"")))))</f>
        <v>2</v>
      </c>
      <c r="N72" s="82">
        <f>K72*M72</f>
        <v>6</v>
      </c>
      <c r="Q72" s="132" t="s">
        <v>19</v>
      </c>
      <c r="R72" s="74">
        <f>IF(ISNUMBER(SEARCH("ต่ำ",Q72)),1,IF(ISNUMBER(SEARCH("กลาง",Q72)),2,IF(ISNUMBER(SEARCH("สูง",Q72)),3,"")))</f>
        <v>3</v>
      </c>
      <c r="S72" s="132" t="s">
        <v>27</v>
      </c>
      <c r="T72" s="74">
        <f>IF(S72="น้อยมาก (แทบจะไม่เกิด หรือปีละ 1 ครั้ง)",1, IF(S72="น้อยครั้ง (ปีละไม่เกิน 2 ครั้ง)",2, IF(S72="บางครั้ง  (ไตรมาสละ 1  ครั้ง)",3, IF(S72="สูง (ปีละ 6-10 ครั้ง)",4, IF(S72="สูงมาก (ขั้นต่ำเดือนละครั้ง)",5,"")))))</f>
        <v>2</v>
      </c>
      <c r="U72" s="74">
        <f>R72*T72</f>
        <v>6</v>
      </c>
      <c r="X72" s="172" t="s">
        <v>187</v>
      </c>
      <c r="Y72" s="94">
        <f>IF(ISNUMBER(SEARCH("ต่ำ",X72)),1,IF(ISNUMBER(SEARCH("กลาง",X72)),2,IF(ISNUMBER(SEARCH("สูง",X72)),3,"")))</f>
        <v>1</v>
      </c>
      <c r="Z72" s="132" t="s">
        <v>25</v>
      </c>
      <c r="AA72" s="68">
        <f>IF(Z72="น้อยมาก (แทบจะไม่เกิด หรือปีละ 1 ครั้ง)",1, IF(Z72="น้อยครั้ง (ปีละไม่เกิน 2 ครั้ง)",2, IF(Z72="บางครั้ง  (ไตรมาสละ 1  ครั้ง)",3, IF(Z72="สูง (ปีละ 6-10 ครั้ง)",4, IF(Z72="สูงมาก (ขั้นต่ำเดือนละครั้ง)",5,"")))))</f>
        <v>3</v>
      </c>
      <c r="AB72" s="82">
        <f>Y72*AA72</f>
        <v>3</v>
      </c>
      <c r="AE72" s="172" t="s">
        <v>187</v>
      </c>
      <c r="AF72" s="101">
        <f>IF(ISNUMBER(SEARCH("ต่ำ",AE72)),1,IF(ISNUMBER(SEARCH("กลาง",AE72)),2,IF(ISNUMBER(SEARCH("สูง",AE72)),3,"")))</f>
        <v>1</v>
      </c>
      <c r="AG72" s="132" t="s">
        <v>25</v>
      </c>
      <c r="AH72" s="74">
        <f>IF(AG72="น้อยมาก (แทบจะไม่เกิด หรือปีละ 1 ครั้ง)",1, IF(AG72="น้อยครั้ง (ปีละไม่เกิน 2 ครั้ง)",2, IF(AG72="บางครั้ง  (ไตรมาสละ 1  ครั้ง)",3, IF(AG72="สูง (ปีละ 6-10 ครั้ง)",4, IF(AG72="สูงมาก (ขั้นต่ำเดือนละครั้ง)",5,"")))))</f>
        <v>3</v>
      </c>
      <c r="AI72" s="74">
        <f>AF72*AH72</f>
        <v>3</v>
      </c>
      <c r="AL72" s="172" t="s">
        <v>187</v>
      </c>
      <c r="AM72" s="101">
        <f>IF(ISNUMBER(SEARCH("ต่ำ",AL72)),1,IF(ISNUMBER(SEARCH("กลาง",AL72)),2,IF(ISNUMBER(SEARCH("สูง",AL72)),3,"")))</f>
        <v>1</v>
      </c>
      <c r="AN72" s="132" t="s">
        <v>190</v>
      </c>
      <c r="AO72" s="74">
        <f>IF(AN72="น้อยมาก (แทบจะไม่เกิด หรือปีละ 1 ครั้ง)",1, IF(AN72="น้อยครั้ง (ปีละไม่เกิน 2 ครั้ง)",2, IF(AN72="บางครั้ง  (ไตรมาสละ 1  ครั้ง)",3, IF(AN72="สูง (ปีละ 6-10 ครั้ง)",4, IF(AN72="สูงมาก (ขั้นต่ำเดือนละครั้ง)",5,"")))))</f>
        <v>1</v>
      </c>
      <c r="AP72" s="74">
        <f>AM72*AO72</f>
        <v>1</v>
      </c>
    </row>
    <row r="73" spans="2:44" ht="24">
      <c r="B73" s="66" t="s">
        <v>21</v>
      </c>
      <c r="C73" s="57" t="s">
        <v>22</v>
      </c>
      <c r="D73" s="74">
        <f>IF(ISNUMBER(SEARCH("ต่ำ",C73)),1,IF(ISNUMBER(SEARCH("กลาง",C73)),2,IF(ISNUMBER(SEARCH("สูง",C73)),3,"")))</f>
        <v>3</v>
      </c>
      <c r="E73" s="57" t="s">
        <v>27</v>
      </c>
      <c r="F73" s="68">
        <f>IF(E73="น้อยมาก (แทบจะไม่เกิด หรือปีละ 1 ครั้ง)",1, IF(E73="น้อยครั้ง (ปีละไม่เกิน 2 ครั้ง)",2, IF(E73="บางครั้ง  (ไตรมาสละ 1  ครั้ง)",3, IF(E73="สูง (ปีละ 6-10 ครั้ง)",4, IF(E73="สูงมาก (ขั้นต่ำเดือนละครั้ง)",5,"")))))</f>
        <v>2</v>
      </c>
      <c r="G73" s="82">
        <f>D73*F73</f>
        <v>6</v>
      </c>
      <c r="J73" s="132" t="s">
        <v>22</v>
      </c>
      <c r="K73" s="74">
        <f>IF(ISNUMBER(SEARCH("ต่ำ",J73)),1,IF(ISNUMBER(SEARCH("กลาง",J73)),2,IF(ISNUMBER(SEARCH("สูง",J73)),3,"")))</f>
        <v>3</v>
      </c>
      <c r="L73" s="132" t="s">
        <v>27</v>
      </c>
      <c r="M73" s="68">
        <f>IF(L73="น้อยมาก (แทบจะไม่เกิด หรือปีละ 1 ครั้ง)",1, IF(L73="น้อยครั้ง (ปีละไม่เกิน 2 ครั้ง)",2, IF(L73="บางครั้ง  (ไตรมาสละ 1  ครั้ง)",3, IF(L73="สูง (ปีละ 6-10 ครั้ง)",4, IF(L73="สูงมาก (ขั้นต่ำเดือนละครั้ง)",5,"")))))</f>
        <v>2</v>
      </c>
      <c r="N73" s="82">
        <f>K73*M73</f>
        <v>6</v>
      </c>
      <c r="Q73" s="132" t="s">
        <v>22</v>
      </c>
      <c r="R73" s="74">
        <f>IF(ISNUMBER(SEARCH("ต่ำ",Q73)),1,IF(ISNUMBER(SEARCH("กลาง",Q73)),2,IF(ISNUMBER(SEARCH("สูง",Q73)),3,"")))</f>
        <v>3</v>
      </c>
      <c r="S73" s="132" t="s">
        <v>190</v>
      </c>
      <c r="T73" s="74">
        <f>IF(S73="น้อยมาก (แทบจะไม่เกิด หรือปีละ 1 ครั้ง)",1, IF(S73="น้อยครั้ง (ปีละไม่เกิน 2 ครั้ง)",2, IF(S73="บางครั้ง  (ไตรมาสละ 1  ครั้ง)",3, IF(S73="สูง (ปีละ 6-10 ครั้ง)",4, IF(S73="สูงมาก (ขั้นต่ำเดือนละครั้ง)",5,"")))))</f>
        <v>1</v>
      </c>
      <c r="U73" s="74">
        <f>R73*T73</f>
        <v>3</v>
      </c>
      <c r="X73" s="172" t="s">
        <v>296</v>
      </c>
      <c r="Y73" s="94">
        <f>IF(ISNUMBER(SEARCH("ต่ำ",X73)),1,IF(ISNUMBER(SEARCH("กลาง",X73)),2,IF(ISNUMBER(SEARCH("สูง",X73)),3,"")))</f>
        <v>2</v>
      </c>
      <c r="Z73" s="132" t="s">
        <v>27</v>
      </c>
      <c r="AA73" s="68">
        <f>IF(Z73="น้อยมาก (แทบจะไม่เกิด หรือปีละ 1 ครั้ง)",1, IF(Z73="น้อยครั้ง (ปีละไม่เกิน 2 ครั้ง)",2, IF(Z73="บางครั้ง  (ไตรมาสละ 1  ครั้ง)",3, IF(Z73="สูง (ปีละ 6-10 ครั้ง)",4, IF(Z73="สูงมาก (ขั้นต่ำเดือนละครั้ง)",5,"")))))</f>
        <v>2</v>
      </c>
      <c r="AB73" s="82">
        <f>Y73*AA73</f>
        <v>4</v>
      </c>
      <c r="AE73" s="172" t="s">
        <v>296</v>
      </c>
      <c r="AF73" s="101">
        <f>IF(ISNUMBER(SEARCH("ต่ำ",AE73)),1,IF(ISNUMBER(SEARCH("กลาง",AE73)),2,IF(ISNUMBER(SEARCH("สูง",AE73)),3,"")))</f>
        <v>2</v>
      </c>
      <c r="AG73" s="132" t="s">
        <v>190</v>
      </c>
      <c r="AH73" s="74">
        <f>IF(AG73="น้อยมาก (แทบจะไม่เกิด หรือปีละ 1 ครั้ง)",1, IF(AG73="น้อยครั้ง (ปีละไม่เกิน 2 ครั้ง)",2, IF(AG73="บางครั้ง  (ไตรมาสละ 1  ครั้ง)",3, IF(AG73="สูง (ปีละ 6-10 ครั้ง)",4, IF(AG73="สูงมาก (ขั้นต่ำเดือนละครั้ง)",5,"")))))</f>
        <v>1</v>
      </c>
      <c r="AI73" s="74">
        <f>AF73*AH73</f>
        <v>2</v>
      </c>
      <c r="AL73" s="172" t="s">
        <v>297</v>
      </c>
      <c r="AM73" s="101">
        <f>IF(ISNUMBER(SEARCH("ต่ำ",AL73)),1,IF(ISNUMBER(SEARCH("กลาง",AL73)),2,IF(ISNUMBER(SEARCH("สูง",AL73)),3,"")))</f>
        <v>1</v>
      </c>
      <c r="AN73" s="132" t="s">
        <v>190</v>
      </c>
      <c r="AO73" s="74">
        <f>IF(AN73="น้อยมาก (แทบจะไม่เกิด หรือปีละ 1 ครั้ง)",1, IF(AN73="น้อยครั้ง (ปีละไม่เกิน 2 ครั้ง)",2, IF(AN73="บางครั้ง  (ไตรมาสละ 1  ครั้ง)",3, IF(AN73="สูง (ปีละ 6-10 ครั้ง)",4, IF(AN73="สูงมาก (ขั้นต่ำเดือนละครั้ง)",5,"")))))</f>
        <v>1</v>
      </c>
      <c r="AP73" s="74">
        <f>AM73*AO73</f>
        <v>1</v>
      </c>
    </row>
    <row r="74" spans="2:44" ht="24">
      <c r="B74" s="65" t="s">
        <v>23</v>
      </c>
      <c r="C74" s="57" t="s">
        <v>24</v>
      </c>
      <c r="D74" s="74">
        <f t="shared" ref="D74:D75" si="35">IF(ISNUMBER(SEARCH("ต่ำ",C74)),1,IF(ISNUMBER(SEARCH("กลาง",C74)),2,IF(ISNUMBER(SEARCH("สูง",C74)),3,"")))</f>
        <v>3</v>
      </c>
      <c r="E74" s="57" t="s">
        <v>25</v>
      </c>
      <c r="F74" s="68">
        <f>IF(E74="น้อยมาก (แทบจะไม่เกิด หรือปีละ 1 ครั้ง)",1, IF(E74="น้อยครั้ง (ปีละไม่เกิน 2 ครั้ง)",2, IF(E74="บางครั้ง  (ไตรมาสละ 1  ครั้ง)",3, IF(E74="สูง (ปีละ 6-10 ครั้ง)",4, IF(E74="สูงมาก (ขั้นต่ำเดือนละครั้ง)",5,"")))))</f>
        <v>3</v>
      </c>
      <c r="G74" s="82">
        <f>D74*F74</f>
        <v>9</v>
      </c>
      <c r="J74" s="132" t="s">
        <v>24</v>
      </c>
      <c r="K74" s="74">
        <f t="shared" ref="K74" si="36">IF(ISNUMBER(SEARCH("ต่ำ",J74)),1,IF(ISNUMBER(SEARCH("กลาง",J74)),2,IF(ISNUMBER(SEARCH("สูง",J74)),3,"")))</f>
        <v>3</v>
      </c>
      <c r="L74" s="132" t="s">
        <v>25</v>
      </c>
      <c r="M74" s="68">
        <f>IF(L74="น้อยมาก (แทบจะไม่เกิด หรือปีละ 1 ครั้ง)",1, IF(L74="น้อยครั้ง (ปีละไม่เกิน 2 ครั้ง)",2, IF(L74="บางครั้ง  (ไตรมาสละ 1  ครั้ง)",3, IF(L74="สูง (ปีละ 6-10 ครั้ง)",4, IF(L74="สูงมาก (ขั้นต่ำเดือนละครั้ง)",5,"")))))</f>
        <v>3</v>
      </c>
      <c r="N74" s="82">
        <f>K74*M74</f>
        <v>9</v>
      </c>
      <c r="Q74" s="132" t="s">
        <v>24</v>
      </c>
      <c r="R74" s="74">
        <f>IF(ISNUMBER(SEARCH("ต่ำ",Q74)),1,IF(ISNUMBER(SEARCH("กลาง",Q74)),2,IF(ISNUMBER(SEARCH("สูง",Q74)),3,"")))</f>
        <v>3</v>
      </c>
      <c r="S74" s="132" t="s">
        <v>25</v>
      </c>
      <c r="T74" s="74">
        <f>IF(S74="น้อยมาก (แทบจะไม่เกิด หรือปีละ 1 ครั้ง)",1, IF(S74="น้อยครั้ง (ปีละไม่เกิน 2 ครั้ง)",2, IF(S74="บางครั้ง  (ไตรมาสละ 1  ครั้ง)",3, IF(S74="สูง (ปีละ 6-10 ครั้ง)",4, IF(S74="สูงมาก (ขั้นต่ำเดือนละครั้ง)",5,"")))))</f>
        <v>3</v>
      </c>
      <c r="U74" s="74">
        <f>R74*T74</f>
        <v>9</v>
      </c>
      <c r="X74" s="172" t="s">
        <v>298</v>
      </c>
      <c r="Y74" s="94">
        <f t="shared" ref="Y74:Y75" si="37">IF(ISNUMBER(SEARCH("ต่ำ",X74)),1,IF(ISNUMBER(SEARCH("กลาง",X74)),2,IF(ISNUMBER(SEARCH("สูง",X74)),3,"")))</f>
        <v>2</v>
      </c>
      <c r="Z74" s="132" t="s">
        <v>25</v>
      </c>
      <c r="AA74" s="68">
        <f>IF(Z74="น้อยมาก (แทบจะไม่เกิด หรือปีละ 1 ครั้ง)",1, IF(Z74="น้อยครั้ง (ปีละไม่เกิน 2 ครั้ง)",2, IF(Z74="บางครั้ง  (ไตรมาสละ 1  ครั้ง)",3, IF(Z74="สูง (ปีละ 6-10 ครั้ง)",4, IF(Z74="สูงมาก (ขั้นต่ำเดือนละครั้ง)",5,"")))))</f>
        <v>3</v>
      </c>
      <c r="AB74" s="82">
        <f>Y74*AA74</f>
        <v>6</v>
      </c>
      <c r="AE74" s="172" t="s">
        <v>299</v>
      </c>
      <c r="AF74" s="101">
        <f t="shared" ref="AF74:AF75" si="38">IF(ISNUMBER(SEARCH("ต่ำ",AE74)),1,IF(ISNUMBER(SEARCH("กลาง",AE74)),2,IF(ISNUMBER(SEARCH("สูง",AE74)),3,"")))</f>
        <v>1</v>
      </c>
      <c r="AG74" s="132" t="s">
        <v>27</v>
      </c>
      <c r="AH74" s="74">
        <f>IF(AG74="น้อยมาก (แทบจะไม่เกิด หรือปีละ 1 ครั้ง)",1, IF(AG74="น้อยครั้ง (ปีละไม่เกิน 2 ครั้ง)",2, IF(AG74="บางครั้ง  (ไตรมาสละ 1  ครั้ง)",3, IF(AG74="สูง (ปีละ 6-10 ครั้ง)",4, IF(AG74="สูงมาก (ขั้นต่ำเดือนละครั้ง)",5,"")))))</f>
        <v>2</v>
      </c>
      <c r="AI74" s="74">
        <f>AF74*AH74</f>
        <v>2</v>
      </c>
      <c r="AL74" s="172" t="s">
        <v>299</v>
      </c>
      <c r="AM74" s="101">
        <f t="shared" ref="AM74:AM75" si="39">IF(ISNUMBER(SEARCH("ต่ำ",AL74)),1,IF(ISNUMBER(SEARCH("กลาง",AL74)),2,IF(ISNUMBER(SEARCH("สูง",AL74)),3,"")))</f>
        <v>1</v>
      </c>
      <c r="AN74" s="132" t="s">
        <v>190</v>
      </c>
      <c r="AO74" s="74">
        <f>IF(AN74="น้อยมาก (แทบจะไม่เกิด หรือปีละ 1 ครั้ง)",1, IF(AN74="น้อยครั้ง (ปีละไม่เกิน 2 ครั้ง)",2, IF(AN74="บางครั้ง  (ไตรมาสละ 1  ครั้ง)",3, IF(AN74="สูง (ปีละ 6-10 ครั้ง)",4, IF(AN74="สูงมาก (ขั้นต่ำเดือนละครั้ง)",5,"")))))</f>
        <v>1</v>
      </c>
      <c r="AP74" s="74">
        <f>AM74*AO74</f>
        <v>1</v>
      </c>
    </row>
    <row r="75" spans="2:44" ht="24">
      <c r="B75" s="65" t="s">
        <v>26</v>
      </c>
      <c r="C75" s="69" t="s">
        <v>199</v>
      </c>
      <c r="D75" s="148">
        <f t="shared" si="35"/>
        <v>3</v>
      </c>
      <c r="E75" s="57" t="s">
        <v>17</v>
      </c>
      <c r="F75" s="68">
        <f>IF(E75="น้อยมาก (แทบจะไม่เกิด หรือปีละ 1 ครั้ง)",1, IF(E75="น้อยครั้ง (ปีละไม่เกิน 2 ครั้ง)",2, IF(E75="บางครั้ง  (ไตรมาสละ 1  ครั้ง)",3, IF(E75="สูง (ปีละ 6-10 ครั้ง)",4, IF(E75="สูงมาก (ขั้นต่ำเดือนละครั้ง)",5,"")))))</f>
        <v>5</v>
      </c>
      <c r="G75" s="83">
        <f>D75*F75</f>
        <v>15</v>
      </c>
      <c r="J75" s="133" t="s">
        <v>199</v>
      </c>
      <c r="K75" s="74">
        <f t="shared" ref="K75" si="40">IF(ISNUMBER(SEARCH("ต่ำ",J75)),1,IF(ISNUMBER(SEARCH("กลาง",J75)),2,IF(ISNUMBER(SEARCH("สูง",J75)),3,"")))</f>
        <v>3</v>
      </c>
      <c r="L75" s="132" t="s">
        <v>17</v>
      </c>
      <c r="M75" s="68">
        <f>IF(L75="น้อยมาก (แทบจะไม่เกิด หรือปีละ 1 ครั้ง)",1, IF(L75="น้อยครั้ง (ปีละไม่เกิน 2 ครั้ง)",2, IF(L75="บางครั้ง  (ไตรมาสละ 1  ครั้ง)",3, IF(L75="สูง (ปีละ 6-10 ครั้ง)",4, IF(L75="สูงมาก (ขั้นต่ำเดือนละครั้ง)",5,"")))))</f>
        <v>5</v>
      </c>
      <c r="N75" s="83">
        <f>K75*M75</f>
        <v>15</v>
      </c>
      <c r="Q75" s="133" t="s">
        <v>199</v>
      </c>
      <c r="R75" s="74">
        <f>IF(ISNUMBER(SEARCH("ต่ำ",Q75)),1,IF(ISNUMBER(SEARCH("กลาง",Q75)),2,IF(ISNUMBER(SEARCH("สูง",Q75)),3,"")))</f>
        <v>3</v>
      </c>
      <c r="S75" s="132" t="s">
        <v>27</v>
      </c>
      <c r="T75" s="74">
        <f>IF(S75="น้อยมาก (แทบจะไม่เกิด หรือปีละ 1 ครั้ง)",1, IF(S75="น้อยครั้ง (ปีละไม่เกิน 2 ครั้ง)",2, IF(S75="บางครั้ง  (ไตรมาสละ 1  ครั้ง)",3, IF(S75="สูง (ปีละ 6-10 ครั้ง)",4, IF(S75="สูงมาก (ขั้นต่ำเดือนละครั้ง)",5,"")))))</f>
        <v>2</v>
      </c>
      <c r="U75" s="74">
        <f>R75*T75</f>
        <v>6</v>
      </c>
      <c r="X75" s="175" t="s">
        <v>199</v>
      </c>
      <c r="Y75" s="94">
        <f t="shared" si="37"/>
        <v>3</v>
      </c>
      <c r="Z75" s="132" t="s">
        <v>25</v>
      </c>
      <c r="AA75" s="68">
        <f>IF(Z75="น้อยมาก (แทบจะไม่เกิด หรือปีละ 1 ครั้ง)",1, IF(Z75="น้อยครั้ง (ปีละไม่เกิน 2 ครั้ง)",2, IF(Z75="บางครั้ง  (ไตรมาสละ 1  ครั้ง)",3, IF(Z75="สูง (ปีละ 6-10 ครั้ง)",4, IF(Z75="สูงมาก (ขั้นต่ำเดือนละครั้ง)",5,"")))))</f>
        <v>3</v>
      </c>
      <c r="AB75" s="83">
        <f>Y75*AA75</f>
        <v>9</v>
      </c>
      <c r="AE75" s="175" t="s">
        <v>199</v>
      </c>
      <c r="AF75" s="101">
        <f t="shared" si="38"/>
        <v>3</v>
      </c>
      <c r="AG75" s="132" t="s">
        <v>25</v>
      </c>
      <c r="AH75" s="74">
        <f>IF(AG75="น้อยมาก (แทบจะไม่เกิด หรือปีละ 1 ครั้ง)",1, IF(AG75="น้อยครั้ง (ปีละไม่เกิน 2 ครั้ง)",2, IF(AG75="บางครั้ง  (ไตรมาสละ 1  ครั้ง)",3, IF(AG75="สูง (ปีละ 6-10 ครั้ง)",4, IF(AG75="สูงมาก (ขั้นต่ำเดือนละครั้ง)",5,"")))))</f>
        <v>3</v>
      </c>
      <c r="AI75" s="74">
        <f>AF75*AH75</f>
        <v>9</v>
      </c>
      <c r="AL75" s="175" t="s">
        <v>199</v>
      </c>
      <c r="AM75" s="101">
        <f t="shared" si="39"/>
        <v>3</v>
      </c>
      <c r="AN75" s="132" t="s">
        <v>190</v>
      </c>
      <c r="AO75" s="74">
        <f>IF(AN75="น้อยมาก (แทบจะไม่เกิด หรือปีละ 1 ครั้ง)",1, IF(AN75="น้อยครั้ง (ปีละไม่เกิน 2 ครั้ง)",2, IF(AN75="บางครั้ง  (ไตรมาสละ 1  ครั้ง)",3, IF(AN75="สูง (ปีละ 6-10 ครั้ง)",4, IF(AN75="สูงมาก (ขั้นต่ำเดือนละครั้ง)",5,"")))))</f>
        <v>1</v>
      </c>
      <c r="AP75" s="74">
        <f>AM75*AO75</f>
        <v>3</v>
      </c>
    </row>
    <row r="76" spans="2:44" ht="24">
      <c r="B76" s="73" t="s">
        <v>300</v>
      </c>
      <c r="C76" s="137" t="str">
        <f>IF(D76&gt;9,"สูงมาก ",IF(D76&gt;6,"สูง ",IF(D76&gt;4,"ปานกลาง ",IF(D76&gt;2,"ต่ำ","ต่ำมาก"))))</f>
        <v xml:space="preserve">สูงมาก </v>
      </c>
      <c r="D76" s="60">
        <f>ROUND(AVERAGE(G71:G75),0)</f>
        <v>10</v>
      </c>
      <c r="G76" s="657"/>
      <c r="J76" s="137" t="str">
        <f>IF(K76&gt;9,"สูงมาก ",IF(K76&gt;6,"สูง ",IF(K76&gt;4,"ปานกลาง ",IF(K76&gt;2,"ต่ำ","ต่ำมาก"))))</f>
        <v xml:space="preserve">สูงมาก </v>
      </c>
      <c r="K76" s="60">
        <f>ROUND(AVERAGE(N71:N75),0)</f>
        <v>10</v>
      </c>
      <c r="N76" s="657"/>
      <c r="Q76" s="137" t="str">
        <f>IF(R76&gt;9,"สูงมาก ",IF(R76&gt;6,"สูง ",IF(R76&gt;4,"ปานกลาง ",IF(R76&gt;2,"ต่ำ","ต่ำมาก"))))</f>
        <v xml:space="preserve">สูง </v>
      </c>
      <c r="R76" s="60">
        <f>ROUND(AVERAGE(U71:U75),0)</f>
        <v>7</v>
      </c>
      <c r="U76" s="657"/>
      <c r="X76" s="137" t="str">
        <f>IF(Y76&gt;9,"สูงมาก ",IF(Y76&gt;6,"สูง ",IF(Y76&gt;4,"ปานกลาง ",IF(Y76&gt;2,"ต่ำ","ต่ำมาก"))))</f>
        <v xml:space="preserve">ปานกลาง </v>
      </c>
      <c r="Y76" s="60">
        <f>ROUND(AVERAGE(AB71:AB75),0)</f>
        <v>5</v>
      </c>
      <c r="AB76" s="657"/>
      <c r="AE76" s="59" t="str">
        <f>IF(AF76&gt;9,"สูงมาก ",IF(AF76&gt;6,"สูง ",IF(AF76&gt;4,"ปานกลาง ",IF(AF76&gt;2,"ต่ำ","ต่ำมาก"))))</f>
        <v>ต่ำ</v>
      </c>
      <c r="AF76" s="60">
        <f>ROUND(AVERAGE(AI71:AI75),0)</f>
        <v>3</v>
      </c>
      <c r="AI76" s="657"/>
      <c r="AL76" s="667" t="str">
        <f>IF(AM76&gt;9,"สูงมาก ",IF(AM76&gt;6,"สูง ",IF(AM76&gt;4,"ปานกลาง ",IF(AM76&gt;2,"ต่ำ","ต่ำมาก"))))</f>
        <v>ต่ำมาก</v>
      </c>
      <c r="AM76" s="60">
        <f>ROUND(AVERAGE(AP71:AP75),0)</f>
        <v>1</v>
      </c>
      <c r="AP76" s="657"/>
    </row>
    <row r="77" spans="2:44" ht="24">
      <c r="B77" s="256" t="s">
        <v>272</v>
      </c>
      <c r="D77" s="123">
        <v>5</v>
      </c>
      <c r="K77" s="123">
        <v>0</v>
      </c>
      <c r="R77" s="123">
        <v>5</v>
      </c>
      <c r="Y77" s="123">
        <v>5</v>
      </c>
      <c r="AF77" s="123">
        <v>5</v>
      </c>
      <c r="AL77" s="124"/>
      <c r="AM77" s="123">
        <v>5</v>
      </c>
    </row>
    <row r="78" spans="2:44" ht="30.6" customHeight="1">
      <c r="B78" s="195" t="s">
        <v>224</v>
      </c>
    </row>
    <row r="79" spans="2:44" ht="45.6" customHeight="1">
      <c r="C79" s="107" t="s">
        <v>30</v>
      </c>
      <c r="D79" s="107" t="s">
        <v>301</v>
      </c>
      <c r="E79" s="583" t="s">
        <v>32</v>
      </c>
      <c r="F79" s="583"/>
      <c r="J79" s="107" t="s">
        <v>30</v>
      </c>
      <c r="K79" s="107" t="s">
        <v>301</v>
      </c>
      <c r="L79" s="583" t="s">
        <v>32</v>
      </c>
      <c r="M79" s="583"/>
      <c r="Q79" s="107" t="s">
        <v>30</v>
      </c>
      <c r="R79" s="107" t="s">
        <v>301</v>
      </c>
      <c r="S79" s="583" t="s">
        <v>32</v>
      </c>
      <c r="T79" s="583"/>
      <c r="X79" s="107" t="s">
        <v>30</v>
      </c>
      <c r="Y79" s="107" t="s">
        <v>301</v>
      </c>
      <c r="Z79" s="583" t="s">
        <v>32</v>
      </c>
      <c r="AA79" s="583"/>
      <c r="AE79" s="107" t="s">
        <v>30</v>
      </c>
      <c r="AF79" s="107" t="s">
        <v>301</v>
      </c>
      <c r="AG79" s="583" t="s">
        <v>32</v>
      </c>
      <c r="AH79" s="583"/>
      <c r="AL79" s="257" t="s">
        <v>30</v>
      </c>
      <c r="AM79" s="257" t="s">
        <v>301</v>
      </c>
      <c r="AN79" s="588" t="s">
        <v>32</v>
      </c>
      <c r="AO79" s="589"/>
    </row>
    <row r="80" spans="2:44" s="258" customFormat="1" ht="38.450000000000003" customHeight="1">
      <c r="C80" s="259" t="str">
        <f>IF(AND(D77=5,D76&gt;=10),"ลับที่สุด",
IF(D77&gt;15,"ลับที่สุด",
IF(D76&gt;6,"ลับมาก",
IF(D76&gt;4,"ลับ",
IF(D76&gt;2,"เผยแพร่ภายในองค์กร","เปิดเผย")))))</f>
        <v>ลับที่สุด</v>
      </c>
      <c r="D80" s="259" t="str">
        <f>IF(C80="ลับที่สุด",
    "Highly Protected Data",
    IF(OR(C80="ลับ",C80="ลับมาก"),
        "Protected Data",
        "Official Data"
    )
)</f>
        <v>Highly Protected Data</v>
      </c>
      <c r="E80" s="584" t="str">
        <f>IF(UPPER(TRIM(D80))="HIGHLY PROTECTED DATA",
   "Sovereign Cloud",
   IF(OR(UPPER(TRIM(D80))="PROTECTED DATA",UPPER(TRIM(D80))="OFFICIAL DATA"),
      "Public Cloud",
      ""
   )
)</f>
        <v>Sovereign Cloud</v>
      </c>
      <c r="F80" s="584"/>
      <c r="J80" s="259" t="str">
        <f>IF(AND(K77=5,K76&gt;=10),"ลับที่สุด",
IF(K77&gt;15,"ลับที่สุด",
IF(K76&gt;6,"ลับมาก",
IF(K76&gt;4,"ลับ",
IF(K76&gt;2,"เผยแพร่ภายในองค์กร","เปิดเผย")))))</f>
        <v>ลับมาก</v>
      </c>
      <c r="K80" s="259" t="str">
        <f>IF(J80="ลับที่สุด",
    "Highly Protected Data",
    IF(OR(J80="ลับ",J80="ลับมาก"),
        "Protected Data",
        "Official Data"
    )
)</f>
        <v>Protected Data</v>
      </c>
      <c r="L80" s="584" t="str">
        <f>IF(UPPER(TRIM(K80))="HIGHLY PROTECTED DATA",
   "Sovereign Cloud",
   IF(OR(UPPER(TRIM(K80))="PROTECTED DATA",UPPER(TRIM(K80))="OFFICIAL DATA"),
      "Public Cloud",
      ""
   )
)</f>
        <v>Public Cloud</v>
      </c>
      <c r="M80" s="584"/>
      <c r="Q80" s="259" t="str">
        <f>IF(AND(R77=5,R76&gt;=10),"ลับที่สุด",
IF(R77&gt;15,"ลับที่สุด",
IF(R76&gt;6,"ลับมาก",
IF(R76&gt;4,"ลับ",
IF(R76&gt;2,"เผยแพร่ภายในองค์กร","เปิดเผย")))))</f>
        <v>ลับมาก</v>
      </c>
      <c r="R80" s="259" t="str">
        <f>IF(Q80="ลับที่สุด",
    "Highly Protected Data",
    IF(OR(Q80="ลับ",Q80="ลับมาก"),
        "Protected Data",
        "Official Data"
    )
)</f>
        <v>Protected Data</v>
      </c>
      <c r="S80" s="584" t="str">
        <f>IF(UPPER(TRIM(R80))="HIGHLY PROTECTED DATA",
   "Sovereign Cloud",
   IF(OR(UPPER(TRIM(R80))="PROTECTED DATA",UPPER(TRIM(R80))="OFFICIAL DATA"),
      "Public Cloud",
      ""
   )
)</f>
        <v>Public Cloud</v>
      </c>
      <c r="T80" s="584"/>
      <c r="X80" s="239" t="str">
        <f>IF(AND(Y77=5,Y76&gt;=10),"ลับที่สุด",
IF(Y77&gt;15,"ลับที่สุด",
IF(Y76&gt;6,"ลับมาก",
IF(Y76&gt;4,"ลับ",
IF(Y76&gt;2,"เผยแพร่ภายในองค์กร","เปิดเผย")))))</f>
        <v>ลับ</v>
      </c>
      <c r="Y80" s="259" t="str">
        <f>IF(X80="ลับที่สุด",
    "Highly Protected Data",
    IF(OR(X80="ลับ",X80="ลับมาก"),
        "Protected Data",
        "Official Data"
    )
)</f>
        <v>Protected Data</v>
      </c>
      <c r="Z80" s="584" t="str">
        <f>IF(UPPER(TRIM(Y80))="HIGHLY PROTECTED DATA",
   "Sovereign Cloud",
   IF(OR(UPPER(TRIM(Y80))="PROTECTED DATA",UPPER(TRIM(Y80))="OFFICIAL DATA"),
      "Public Cloud",
      ""
   )
)</f>
        <v>Public Cloud</v>
      </c>
      <c r="AA80" s="584"/>
      <c r="AE80" s="259" t="str">
        <f>IF(AND(AF77=5,AF76&gt;=10),"ลับที่สุด",
IF(AF77&gt;15,"ลับที่สุด",
IF(AF76&gt;6,"ลับมาก",
IF(AF76&gt;4,"ลับ",
IF(AF76&gt;2,"เผยแพร่ภายในองค์กร","เปิดเผย")))))</f>
        <v>เผยแพร่ภายในองค์กร</v>
      </c>
      <c r="AF80" s="259" t="str">
        <f>IF(AE80="ลับที่สุด",
    "Highly Protected Data",
    IF(OR(AE80="ลับ",AE80="ลับมาก"),
        "Protected Data",
        "Official Data"
    )
)</f>
        <v>Official Data</v>
      </c>
      <c r="AG80" s="584" t="str">
        <f>IF(UPPER(TRIM(AF80))="HIGHLY PROTECTED DATA",
   "Sovereign Cloud",
   IF(OR(UPPER(TRIM(AF80))="PROTECTED DATA",UPPER(TRIM(AF80))="OFFICIAL DATA"),
      "Public Cloud",
      ""
   )
)</f>
        <v>Public Cloud</v>
      </c>
      <c r="AH80" s="584"/>
      <c r="AL80" s="260" t="str">
        <f>IF(AM77&gt;15,"ลับที่สุด",IF(AM76&gt;6,"ลับมาก",IF(AM76&gt;4,"ลับ ",IF(AM76&gt;2,"เผยแพร่ภายในองค์กร","เปิดเผย"))))</f>
        <v>เปิดเผย</v>
      </c>
      <c r="AM80" s="260" t="str">
        <f>IF(AL80="ลับที่สุด",
    "Highly Protected Data",
    IF(OR(AL80="ลับ",AL80="ลับมาก"),
        "Protected Data",
        "Official Data"
    )
)</f>
        <v>Official Data</v>
      </c>
      <c r="AN80" s="584" t="str">
        <f>IF(UPPER(TRIM(AM80))="HIGHLY PROTECTED DATA",
   "Sovereign Cloud",
   IF(OR(UPPER(TRIM(AM80))="PROTECTED DATA",UPPER(TRIM(AM80))="OFFICIAL DATA"),
      "Public Cloud",
      ""
   )
)</f>
        <v>Public Cloud</v>
      </c>
      <c r="AO80" s="584"/>
    </row>
    <row r="84" spans="2:35" ht="27" hidden="1">
      <c r="B84" s="141" t="s">
        <v>302</v>
      </c>
      <c r="C84" s="142"/>
      <c r="D84" s="143"/>
      <c r="E84" s="144"/>
      <c r="F84" s="144"/>
      <c r="G84" s="144"/>
      <c r="H84" s="144"/>
      <c r="I84" s="144"/>
      <c r="J84" s="144"/>
      <c r="K84" s="144"/>
      <c r="L84" s="144"/>
      <c r="M84" s="144"/>
    </row>
    <row r="85" spans="2:35" ht="27" hidden="1">
      <c r="J85" s="615" t="s">
        <v>303</v>
      </c>
      <c r="K85" s="616"/>
      <c r="L85" s="616"/>
      <c r="M85" s="616"/>
      <c r="N85" s="617"/>
      <c r="Q85" s="569" t="s">
        <v>304</v>
      </c>
      <c r="R85" s="570"/>
      <c r="S85" s="570"/>
      <c r="T85" s="570"/>
      <c r="U85" s="571"/>
      <c r="X85" s="599" t="s">
        <v>305</v>
      </c>
      <c r="Y85" s="600"/>
      <c r="Z85" s="600"/>
      <c r="AA85" s="600"/>
      <c r="AB85" s="601"/>
      <c r="AE85" s="585" t="s">
        <v>284</v>
      </c>
      <c r="AF85" s="586"/>
      <c r="AG85" s="586"/>
      <c r="AH85" s="586"/>
      <c r="AI85" s="587"/>
    </row>
    <row r="86" spans="2:35" ht="34.5" hidden="1">
      <c r="J86" s="135" t="s">
        <v>306</v>
      </c>
      <c r="K86" s="120"/>
      <c r="L86" s="121">
        <v>6</v>
      </c>
      <c r="M86" s="147" t="s">
        <v>307</v>
      </c>
      <c r="N86" s="136">
        <v>0</v>
      </c>
      <c r="Q86" s="135" t="s">
        <v>306</v>
      </c>
      <c r="R86" s="120"/>
      <c r="S86" s="121">
        <v>6</v>
      </c>
      <c r="T86" s="147" t="s">
        <v>307</v>
      </c>
      <c r="U86" s="136">
        <v>0</v>
      </c>
      <c r="X86" s="135" t="s">
        <v>306</v>
      </c>
      <c r="Y86" s="120"/>
      <c r="Z86" s="121">
        <v>6</v>
      </c>
      <c r="AA86" s="147" t="s">
        <v>307</v>
      </c>
      <c r="AB86" s="136">
        <v>0</v>
      </c>
      <c r="AE86" s="135" t="s">
        <v>306</v>
      </c>
      <c r="AF86" s="120"/>
      <c r="AG86" s="121">
        <v>6</v>
      </c>
      <c r="AH86" s="147" t="s">
        <v>307</v>
      </c>
      <c r="AI86" s="136">
        <v>0</v>
      </c>
    </row>
    <row r="87" spans="2:35" ht="36.950000000000003" hidden="1" customHeight="1">
      <c r="J87" s="596" t="s">
        <v>308</v>
      </c>
      <c r="K87" s="597"/>
      <c r="L87" s="597"/>
      <c r="M87" s="597"/>
      <c r="N87" s="598"/>
      <c r="Q87" s="644" t="s">
        <v>309</v>
      </c>
      <c r="R87" s="645"/>
      <c r="S87" s="645"/>
      <c r="T87" s="645"/>
      <c r="U87" s="646"/>
      <c r="X87" s="647" t="s">
        <v>310</v>
      </c>
      <c r="Y87" s="648"/>
      <c r="Z87" s="648"/>
      <c r="AA87" s="648"/>
      <c r="AB87" s="649"/>
      <c r="AE87" s="612" t="s">
        <v>311</v>
      </c>
      <c r="AF87" s="613"/>
      <c r="AG87" s="613"/>
      <c r="AH87" s="613"/>
      <c r="AI87" s="614"/>
    </row>
    <row r="88" spans="2:35" ht="39.950000000000003" hidden="1" customHeight="1">
      <c r="B88" s="126" t="s">
        <v>5</v>
      </c>
      <c r="J88" s="127" t="s">
        <v>6</v>
      </c>
      <c r="K88" s="131" t="s">
        <v>294</v>
      </c>
      <c r="L88" s="127" t="s">
        <v>8</v>
      </c>
      <c r="M88" s="131" t="s">
        <v>295</v>
      </c>
      <c r="N88" s="131" t="s">
        <v>293</v>
      </c>
      <c r="Q88" s="127" t="s">
        <v>6</v>
      </c>
      <c r="R88" s="131" t="s">
        <v>294</v>
      </c>
      <c r="S88" s="127" t="s">
        <v>8</v>
      </c>
      <c r="T88" s="131" t="s">
        <v>295</v>
      </c>
      <c r="U88" s="131" t="s">
        <v>293</v>
      </c>
      <c r="X88" s="171" t="s">
        <v>6</v>
      </c>
      <c r="Y88" s="171" t="s">
        <v>294</v>
      </c>
      <c r="Z88" s="171" t="s">
        <v>8</v>
      </c>
      <c r="AA88" s="185" t="s">
        <v>295</v>
      </c>
      <c r="AB88" s="130" t="s">
        <v>293</v>
      </c>
      <c r="AE88" s="127" t="s">
        <v>6</v>
      </c>
      <c r="AF88" s="131" t="s">
        <v>294</v>
      </c>
      <c r="AG88" s="127" t="s">
        <v>8</v>
      </c>
      <c r="AH88" s="185" t="s">
        <v>295</v>
      </c>
      <c r="AI88" s="130" t="s">
        <v>293</v>
      </c>
    </row>
    <row r="89" spans="2:35" ht="32.1" hidden="1" customHeight="1">
      <c r="B89" s="65" t="s">
        <v>15</v>
      </c>
      <c r="J89" s="132" t="s">
        <v>16</v>
      </c>
      <c r="K89" s="94">
        <f>IF(ISNUMBER(SEARCH("ต่ำ",J89)),1,IF(ISNUMBER(SEARCH("กลาง",J89)),2,IF(ISNUMBER(SEARCH("สูง",J89)),3,"")))</f>
        <v>3</v>
      </c>
      <c r="L89" s="134" t="s">
        <v>17</v>
      </c>
      <c r="M89" s="95">
        <f>IF(L89="น้อยมาก (แทบจะไม่เกิด หรือปีละ 1 ครั้ง)",1, IF(L89="น้อยครั้ง (ปีละไม่เกิน 2 ครั้ง)",2, IF(L89="บางครั้ง  (ไตรมาสละ 1  ครั้ง)",3, IF(L89="สูง (ปีละ 6-10 ครั้ง)",4, IF(L89="สูงมาก (ขั้นต่ำเดือนละครั้ง)",5,"")))))</f>
        <v>5</v>
      </c>
      <c r="N89" s="96">
        <f>K89*M89</f>
        <v>15</v>
      </c>
      <c r="Q89" s="172" t="s">
        <v>187</v>
      </c>
      <c r="R89" s="173">
        <f>IF(ISNUMBER(SEARCH("ต่ำ",Q89)),1,IF(ISNUMBER(SEARCH("กลาง",Q89)),2,IF(ISNUMBER(SEARCH("สูง",Q89)),3,"")))</f>
        <v>1</v>
      </c>
      <c r="S89" s="134" t="s">
        <v>190</v>
      </c>
      <c r="T89" s="95">
        <f>IF(S89="น้อยมาก (แทบจะไม่เกิด หรือปีละ 1 ครั้ง)",1, IF(S89="น้อยครั้ง (ปีละไม่เกิน 2 ครั้ง)",2, IF(S89="บางครั้ง  (ไตรมาสละ 1  ครั้ง)",3, IF(S89="สูง (ปีละ 6-10 ครั้ง)",4, IF(S89="สูงมาก (ขั้นต่ำเดือนละครั้ง)",5,"")))))</f>
        <v>1</v>
      </c>
      <c r="U89" s="96">
        <f>R89*T89</f>
        <v>1</v>
      </c>
      <c r="X89" s="172" t="s">
        <v>187</v>
      </c>
      <c r="Y89" s="214">
        <f>IF(ISNUMBER(SEARCH("ต่ำ",X89)),1,IF(ISNUMBER(SEARCH("กลาง",X89)),2,IF(ISNUMBER(SEARCH("สูง",X89)),3,"")))</f>
        <v>1</v>
      </c>
      <c r="Z89" s="134" t="s">
        <v>190</v>
      </c>
      <c r="AA89" s="74">
        <f>IF(Z89="น้อยมาก (แทบจะไม่เกิด หรือปีละ 1 ครั้ง)",1, IF(Z89="น้อยครั้ง (ปีละไม่เกิน 2 ครั้ง)",2, IF(Z89="บางครั้ง  (ไตรมาสละ 1  ครั้ง)",3, IF(Z89="สูง (ปีละ 6-10 ครั้ง)",4, IF(Z89="สูงมาก (ขั้นต่ำเดือนละครั้ง)",5,"")))))</f>
        <v>1</v>
      </c>
      <c r="AB89" s="74">
        <f>Y89*AA89</f>
        <v>1</v>
      </c>
      <c r="AE89" s="172" t="s">
        <v>187</v>
      </c>
      <c r="AF89" s="214">
        <f>IF(ISNUMBER(SEARCH("ต่ำ",AE89)),1,IF(ISNUMBER(SEARCH("กลาง",AE89)),2,IF(ISNUMBER(SEARCH("สูง",AE89)),3,"")))</f>
        <v>1</v>
      </c>
      <c r="AG89" s="134" t="s">
        <v>190</v>
      </c>
      <c r="AH89" s="74">
        <f>IF(AG89="น้อยมาก (แทบจะไม่เกิด หรือปีละ 1 ครั้ง)",1, IF(AG89="น้อยครั้ง (ปีละไม่เกิน 2 ครั้ง)",2, IF(AG89="บางครั้ง  (ไตรมาสละ 1  ครั้ง)",3, IF(AG89="สูง (ปีละ 6-10 ครั้ง)",4, IF(AG89="สูงมาก (ขั้นต่ำเดือนละครั้ง)",5,"")))))</f>
        <v>1</v>
      </c>
      <c r="AI89" s="74">
        <f>AF89*AH89</f>
        <v>1</v>
      </c>
    </row>
    <row r="90" spans="2:35" ht="24" hidden="1">
      <c r="B90" s="65" t="s">
        <v>18</v>
      </c>
      <c r="J90" s="132" t="s">
        <v>312</v>
      </c>
      <c r="K90" s="74">
        <f>IF(ISNUMBER(SEARCH("ต่ำ",J90)),1,IF(ISNUMBER(SEARCH("กลาง",J90)),2,IF(ISNUMBER(SEARCH("สูง",J90)),3,"")))</f>
        <v>2</v>
      </c>
      <c r="L90" s="132" t="s">
        <v>27</v>
      </c>
      <c r="M90" s="68">
        <f>IF(L90="น้อยมาก (แทบจะไม่เกิด หรือปีละ 1 ครั้ง)",1, IF(L90="น้อยครั้ง (ปีละไม่เกิน 2 ครั้ง)",2, IF(L90="บางครั้ง  (ไตรมาสละ 1  ครั้ง)",3, IF(L90="สูง (ปีละ 6-10 ครั้ง)",4, IF(L90="สูงมาก (ขั้นต่ำเดือนละครั้ง)",5,"")))))</f>
        <v>2</v>
      </c>
      <c r="N90" s="82">
        <f>K90*M90</f>
        <v>4</v>
      </c>
      <c r="Q90" s="172" t="s">
        <v>187</v>
      </c>
      <c r="R90" s="174">
        <f>IF(ISNUMBER(SEARCH("ต่ำ",Q90)),1,IF(ISNUMBER(SEARCH("กลาง",Q90)),2,IF(ISNUMBER(SEARCH("สูง",Q90)),3,"")))</f>
        <v>1</v>
      </c>
      <c r="S90" s="132" t="s">
        <v>25</v>
      </c>
      <c r="T90" s="68">
        <f>IF(S90="น้อยมาก (แทบจะไม่เกิด หรือปีละ 1 ครั้ง)",1, IF(S90="น้อยครั้ง (ปีละไม่เกิน 2 ครั้ง)",2, IF(S90="บางครั้ง  (ไตรมาสละ 1  ครั้ง)",3, IF(S90="สูง (ปีละ 6-10 ครั้ง)",4, IF(S90="สูงมาก (ขั้นต่ำเดือนละครั้ง)",5,"")))))</f>
        <v>3</v>
      </c>
      <c r="U90" s="82">
        <f>R90*T90</f>
        <v>3</v>
      </c>
      <c r="X90" s="172" t="s">
        <v>187</v>
      </c>
      <c r="Y90" s="101">
        <f>IF(ISNUMBER(SEARCH("ต่ำ",X90)),1,IF(ISNUMBER(SEARCH("กลาง",X90)),2,IF(ISNUMBER(SEARCH("สูง",X90)),3,"")))</f>
        <v>1</v>
      </c>
      <c r="Z90" s="132" t="s">
        <v>25</v>
      </c>
      <c r="AA90" s="74">
        <f>IF(Z90="น้อยมาก (แทบจะไม่เกิด หรือปีละ 1 ครั้ง)",1, IF(Z90="น้อยครั้ง (ปีละไม่เกิน 2 ครั้ง)",2, IF(Z90="บางครั้ง  (ไตรมาสละ 1  ครั้ง)",3, IF(Z90="สูง (ปีละ 6-10 ครั้ง)",4, IF(Z90="สูงมาก (ขั้นต่ำเดือนละครั้ง)",5,"")))))</f>
        <v>3</v>
      </c>
      <c r="AB90" s="74">
        <f>Y90*AA90</f>
        <v>3</v>
      </c>
      <c r="AE90" s="172" t="s">
        <v>187</v>
      </c>
      <c r="AF90" s="101">
        <f>IF(ISNUMBER(SEARCH("ต่ำ",AE90)),1,IF(ISNUMBER(SEARCH("กลาง",AE90)),2,IF(ISNUMBER(SEARCH("สูง",AE90)),3,"")))</f>
        <v>1</v>
      </c>
      <c r="AG90" s="132" t="s">
        <v>190</v>
      </c>
      <c r="AH90" s="74">
        <f>IF(AG90="น้อยมาก (แทบจะไม่เกิด หรือปีละ 1 ครั้ง)",1, IF(AG90="น้อยครั้ง (ปีละไม่เกิน 2 ครั้ง)",2, IF(AG90="บางครั้ง  (ไตรมาสละ 1  ครั้ง)",3, IF(AG90="สูง (ปีละ 6-10 ครั้ง)",4, IF(AG90="สูงมาก (ขั้นต่ำเดือนละครั้ง)",5,"")))))</f>
        <v>1</v>
      </c>
      <c r="AI90" s="74">
        <f>AF90*AH90</f>
        <v>1</v>
      </c>
    </row>
    <row r="91" spans="2:35" ht="24" hidden="1">
      <c r="B91" s="66" t="s">
        <v>21</v>
      </c>
      <c r="J91" s="132" t="s">
        <v>22</v>
      </c>
      <c r="K91" s="74">
        <f>IF(ISNUMBER(SEARCH("ต่ำ",J91)),1,IF(ISNUMBER(SEARCH("กลาง",J91)),2,IF(ISNUMBER(SEARCH("สูง",J91)),3,"")))</f>
        <v>3</v>
      </c>
      <c r="L91" s="132" t="s">
        <v>27</v>
      </c>
      <c r="M91" s="68">
        <f>IF(L91="น้อยมาก (แทบจะไม่เกิด หรือปีละ 1 ครั้ง)",1, IF(L91="น้อยครั้ง (ปีละไม่เกิน 2 ครั้ง)",2, IF(L91="บางครั้ง  (ไตรมาสละ 1  ครั้ง)",3, IF(L91="สูง (ปีละ 6-10 ครั้ง)",4, IF(L91="สูงมาก (ขั้นต่ำเดือนละครั้ง)",5,"")))))</f>
        <v>2</v>
      </c>
      <c r="N91" s="82">
        <f>K91*M91</f>
        <v>6</v>
      </c>
      <c r="Q91" s="172" t="s">
        <v>296</v>
      </c>
      <c r="R91" s="174">
        <f>IF(ISNUMBER(SEARCH("ต่ำ",Q91)),1,IF(ISNUMBER(SEARCH("กลาง",Q91)),2,IF(ISNUMBER(SEARCH("สูง",Q91)),3,"")))</f>
        <v>2</v>
      </c>
      <c r="S91" s="132" t="s">
        <v>27</v>
      </c>
      <c r="T91" s="68">
        <f>IF(S91="น้อยมาก (แทบจะไม่เกิด หรือปีละ 1 ครั้ง)",1, IF(S91="น้อยครั้ง (ปีละไม่เกิน 2 ครั้ง)",2, IF(S91="บางครั้ง  (ไตรมาสละ 1  ครั้ง)",3, IF(S91="สูง (ปีละ 6-10 ครั้ง)",4, IF(S91="สูงมาก (ขั้นต่ำเดือนละครั้ง)",5,"")))))</f>
        <v>2</v>
      </c>
      <c r="U91" s="82">
        <f>R91*T91</f>
        <v>4</v>
      </c>
      <c r="X91" s="172" t="s">
        <v>296</v>
      </c>
      <c r="Y91" s="101">
        <f>IF(ISNUMBER(SEARCH("ต่ำ",X91)),1,IF(ISNUMBER(SEARCH("กลาง",X91)),2,IF(ISNUMBER(SEARCH("สูง",X91)),3,"")))</f>
        <v>2</v>
      </c>
      <c r="Z91" s="132" t="s">
        <v>190</v>
      </c>
      <c r="AA91" s="74">
        <f>IF(Z91="น้อยมาก (แทบจะไม่เกิด หรือปีละ 1 ครั้ง)",1, IF(Z91="น้อยครั้ง (ปีละไม่เกิน 2 ครั้ง)",2, IF(Z91="บางครั้ง  (ไตรมาสละ 1  ครั้ง)",3, IF(Z91="สูง (ปีละ 6-10 ครั้ง)",4, IF(Z91="สูงมาก (ขั้นต่ำเดือนละครั้ง)",5,"")))))</f>
        <v>1</v>
      </c>
      <c r="AB91" s="74">
        <f>Y91*AA91</f>
        <v>2</v>
      </c>
      <c r="AE91" s="172" t="s">
        <v>297</v>
      </c>
      <c r="AF91" s="101">
        <f>IF(ISNUMBER(SEARCH("ต่ำ",AE91)),1,IF(ISNUMBER(SEARCH("กลาง",AE91)),2,IF(ISNUMBER(SEARCH("สูง",AE91)),3,"")))</f>
        <v>1</v>
      </c>
      <c r="AG91" s="132" t="s">
        <v>190</v>
      </c>
      <c r="AH91" s="74">
        <f>IF(AG91="น้อยมาก (แทบจะไม่เกิด หรือปีละ 1 ครั้ง)",1, IF(AG91="น้อยครั้ง (ปีละไม่เกิน 2 ครั้ง)",2, IF(AG91="บางครั้ง  (ไตรมาสละ 1  ครั้ง)",3, IF(AG91="สูง (ปีละ 6-10 ครั้ง)",4, IF(AG91="สูงมาก (ขั้นต่ำเดือนละครั้ง)",5,"")))))</f>
        <v>1</v>
      </c>
      <c r="AI91" s="74">
        <f>AF91*AH91</f>
        <v>1</v>
      </c>
    </row>
    <row r="92" spans="2:35" ht="24" hidden="1">
      <c r="B92" s="65" t="s">
        <v>23</v>
      </c>
      <c r="J92" s="132" t="s">
        <v>24</v>
      </c>
      <c r="K92" s="74">
        <f t="shared" ref="K92:K93" si="41">IF(ISNUMBER(SEARCH("ต่ำ",J92)),1,IF(ISNUMBER(SEARCH("กลาง",J92)),2,IF(ISNUMBER(SEARCH("สูง",J92)),3,"")))</f>
        <v>3</v>
      </c>
      <c r="L92" s="132" t="s">
        <v>25</v>
      </c>
      <c r="M92" s="68">
        <f>IF(L92="น้อยมาก (แทบจะไม่เกิด หรือปีละ 1 ครั้ง)",1, IF(L92="น้อยครั้ง (ปีละไม่เกิน 2 ครั้ง)",2, IF(L92="บางครั้ง  (ไตรมาสละ 1  ครั้ง)",3, IF(L92="สูง (ปีละ 6-10 ครั้ง)",4, IF(L92="สูงมาก (ขั้นต่ำเดือนละครั้ง)",5,"")))))</f>
        <v>3</v>
      </c>
      <c r="N92" s="82">
        <f>K92*M92</f>
        <v>9</v>
      </c>
      <c r="Q92" s="172" t="s">
        <v>298</v>
      </c>
      <c r="R92" s="174">
        <f t="shared" ref="R92:R93" si="42">IF(ISNUMBER(SEARCH("ต่ำ",Q92)),1,IF(ISNUMBER(SEARCH("กลาง",Q92)),2,IF(ISNUMBER(SEARCH("สูง",Q92)),3,"")))</f>
        <v>2</v>
      </c>
      <c r="S92" s="132" t="s">
        <v>25</v>
      </c>
      <c r="T92" s="68">
        <f>IF(S92="น้อยมาก (แทบจะไม่เกิด หรือปีละ 1 ครั้ง)",1, IF(S92="น้อยครั้ง (ปีละไม่เกิน 2 ครั้ง)",2, IF(S92="บางครั้ง  (ไตรมาสละ 1  ครั้ง)",3, IF(S92="สูง (ปีละ 6-10 ครั้ง)",4, IF(S92="สูงมาก (ขั้นต่ำเดือนละครั้ง)",5,"")))))</f>
        <v>3</v>
      </c>
      <c r="U92" s="82">
        <f>R92*T92</f>
        <v>6</v>
      </c>
      <c r="X92" s="172" t="s">
        <v>299</v>
      </c>
      <c r="Y92" s="101">
        <f t="shared" ref="Y92:Y93" si="43">IF(ISNUMBER(SEARCH("ต่ำ",X92)),1,IF(ISNUMBER(SEARCH("กลาง",X92)),2,IF(ISNUMBER(SEARCH("สูง",X92)),3,"")))</f>
        <v>1</v>
      </c>
      <c r="Z92" s="132" t="s">
        <v>27</v>
      </c>
      <c r="AA92" s="74">
        <f>IF(Z92="น้อยมาก (แทบจะไม่เกิด หรือปีละ 1 ครั้ง)",1, IF(Z92="น้อยครั้ง (ปีละไม่เกิน 2 ครั้ง)",2, IF(Z92="บางครั้ง  (ไตรมาสละ 1  ครั้ง)",3, IF(Z92="สูง (ปีละ 6-10 ครั้ง)",4, IF(Z92="สูงมาก (ขั้นต่ำเดือนละครั้ง)",5,"")))))</f>
        <v>2</v>
      </c>
      <c r="AB92" s="74">
        <f>Y92*AA92</f>
        <v>2</v>
      </c>
      <c r="AE92" s="172" t="s">
        <v>299</v>
      </c>
      <c r="AF92" s="101">
        <f t="shared" ref="AF92:AF93" si="44">IF(ISNUMBER(SEARCH("ต่ำ",AE92)),1,IF(ISNUMBER(SEARCH("กลาง",AE92)),2,IF(ISNUMBER(SEARCH("สูง",AE92)),3,"")))</f>
        <v>1</v>
      </c>
      <c r="AG92" s="132" t="s">
        <v>190</v>
      </c>
      <c r="AH92" s="74">
        <f>IF(AG92="น้อยมาก (แทบจะไม่เกิด หรือปีละ 1 ครั้ง)",1, IF(AG92="น้อยครั้ง (ปีละไม่เกิน 2 ครั้ง)",2, IF(AG92="บางครั้ง  (ไตรมาสละ 1  ครั้ง)",3, IF(AG92="สูง (ปีละ 6-10 ครั้ง)",4, IF(AG92="สูงมาก (ขั้นต่ำเดือนละครั้ง)",5,"")))))</f>
        <v>1</v>
      </c>
      <c r="AI92" s="74">
        <f>AF92*AH92</f>
        <v>1</v>
      </c>
    </row>
    <row r="93" spans="2:35" ht="24" hidden="1">
      <c r="B93" s="65" t="s">
        <v>26</v>
      </c>
      <c r="J93" s="133" t="s">
        <v>199</v>
      </c>
      <c r="K93" s="74">
        <f t="shared" si="41"/>
        <v>3</v>
      </c>
      <c r="L93" s="132" t="s">
        <v>20</v>
      </c>
      <c r="M93" s="68">
        <f>IF(L93="น้อยมาก (แทบจะไม่เกิด หรือปีละ 1 ครั้ง)",1, IF(L93="น้อยครั้ง (ปีละไม่เกิน 2 ครั้ง)",2, IF(L93="บางครั้ง  (ไตรมาสละ 1  ครั้ง)",3, IF(L93="สูง (ปีละ 6-10 ครั้ง)",4, IF(L93="สูงมาก (ขั้นต่ำเดือนละครั้ง)",5,"")))))</f>
        <v>4</v>
      </c>
      <c r="N93" s="83">
        <f>K93*M93</f>
        <v>12</v>
      </c>
      <c r="Q93" s="175" t="s">
        <v>199</v>
      </c>
      <c r="R93" s="174">
        <f t="shared" si="42"/>
        <v>3</v>
      </c>
      <c r="S93" s="132" t="s">
        <v>25</v>
      </c>
      <c r="T93" s="68">
        <f>IF(S93="น้อยมาก (แทบจะไม่เกิด หรือปีละ 1 ครั้ง)",1, IF(S93="น้อยครั้ง (ปีละไม่เกิน 2 ครั้ง)",2, IF(S93="บางครั้ง  (ไตรมาสละ 1  ครั้ง)",3, IF(S93="สูง (ปีละ 6-10 ครั้ง)",4, IF(S93="สูงมาก (ขั้นต่ำเดือนละครั้ง)",5,"")))))</f>
        <v>3</v>
      </c>
      <c r="U93" s="83">
        <f>R93*T93</f>
        <v>9</v>
      </c>
      <c r="X93" s="175" t="s">
        <v>199</v>
      </c>
      <c r="Y93" s="101">
        <f t="shared" si="43"/>
        <v>3</v>
      </c>
      <c r="Z93" s="132" t="s">
        <v>25</v>
      </c>
      <c r="AA93" s="74">
        <f>IF(Z93="น้อยมาก (แทบจะไม่เกิด หรือปีละ 1 ครั้ง)",1, IF(Z93="น้อยครั้ง (ปีละไม่เกิน 2 ครั้ง)",2, IF(Z93="บางครั้ง  (ไตรมาสละ 1  ครั้ง)",3, IF(Z93="สูง (ปีละ 6-10 ครั้ง)",4, IF(Z93="สูงมาก (ขั้นต่ำเดือนละครั้ง)",5,"")))))</f>
        <v>3</v>
      </c>
      <c r="AB93" s="74">
        <f>Y93*AA93</f>
        <v>9</v>
      </c>
      <c r="AE93" s="175" t="s">
        <v>199</v>
      </c>
      <c r="AF93" s="101">
        <f t="shared" si="44"/>
        <v>3</v>
      </c>
      <c r="AG93" s="132" t="s">
        <v>190</v>
      </c>
      <c r="AH93" s="74">
        <f>IF(AG93="น้อยมาก (แทบจะไม่เกิด หรือปีละ 1 ครั้ง)",1, IF(AG93="น้อยครั้ง (ปีละไม่เกิน 2 ครั้ง)",2, IF(AG93="บางครั้ง  (ไตรมาสละ 1  ครั้ง)",3, IF(AG93="สูง (ปีละ 6-10 ครั้ง)",4, IF(AG93="สูงมาก (ขั้นต่ำเดือนละครั้ง)",5,"")))))</f>
        <v>1</v>
      </c>
      <c r="AI93" s="74">
        <f>AF93*AH93</f>
        <v>3</v>
      </c>
    </row>
    <row r="94" spans="2:35" ht="24" hidden="1">
      <c r="B94" s="73" t="s">
        <v>28</v>
      </c>
      <c r="J94" s="59" t="str">
        <f>IF(K94&gt;9,"สูงมาก ",IF(K94&gt;6,"สูง ",IF(K94&gt;4,"ปานกลาง ",IF(K94&gt;2,"ต่ำ","ต่ำมาก"))))</f>
        <v xml:space="preserve">สูง </v>
      </c>
      <c r="K94" s="60">
        <f>ROUND(AVERAGE(N89:N93),0)</f>
        <v>9</v>
      </c>
      <c r="N94" s="657"/>
      <c r="Q94" s="59" t="str">
        <f>IF(R94&gt;9,"สูงมาก ",IF(R94&gt;6,"สูง ",IF(R94&gt;4,"ปานกลาง ",IF(R94&gt;2,"ต่ำ","ต่ำมาก"))))</f>
        <v xml:space="preserve">ปานกลาง </v>
      </c>
      <c r="R94" s="176">
        <f>ROUND(AVERAGE(U89:U93),0)</f>
        <v>5</v>
      </c>
      <c r="U94" s="657"/>
      <c r="X94" s="59" t="str">
        <f>IF(Y94&gt;9,"สูงมาก ",IF(Y94&gt;6,"สูง ",IF(Y94&gt;4,"ปานกลาง ",IF(Y94&gt;2,"ต่ำ","ต่ำมาก"))))</f>
        <v>ต่ำ</v>
      </c>
      <c r="Y94" s="60">
        <f>ROUND(AVERAGE(AB89:AB93),0)</f>
        <v>3</v>
      </c>
      <c r="AB94" s="657"/>
      <c r="AE94" s="667" t="str">
        <f>IF(AF94&gt;9,"สูงมาก ",IF(AF94&gt;6,"สูง ",IF(AF94&gt;4,"ปานกลาง ",IF(AF94&gt;2,"ต่ำ","ต่ำมาก"))))</f>
        <v>ต่ำมาก</v>
      </c>
      <c r="AF94" s="60">
        <f>ROUND(AVERAGE(AI89:AI93),0)</f>
        <v>1</v>
      </c>
      <c r="AI94" s="657"/>
    </row>
    <row r="95" spans="2:35" ht="36" hidden="1">
      <c r="J95" s="124" t="s">
        <v>313</v>
      </c>
      <c r="K95" s="123">
        <f>K94+N86</f>
        <v>9</v>
      </c>
      <c r="Q95" s="124" t="s">
        <v>314</v>
      </c>
      <c r="R95" s="177">
        <f>R94+U86</f>
        <v>5</v>
      </c>
      <c r="X95" s="124" t="s">
        <v>315</v>
      </c>
      <c r="Y95" s="177">
        <f>Y94+AB86</f>
        <v>3</v>
      </c>
      <c r="AE95" s="124" t="s">
        <v>316</v>
      </c>
      <c r="AF95" s="177">
        <f>AF94+AI86</f>
        <v>1</v>
      </c>
    </row>
    <row r="96" spans="2:35" hidden="1"/>
    <row r="97" spans="10:34" ht="36" hidden="1">
      <c r="J97" s="107" t="s">
        <v>30</v>
      </c>
      <c r="K97" s="107" t="s">
        <v>301</v>
      </c>
      <c r="L97" s="652" t="s">
        <v>32</v>
      </c>
      <c r="M97" s="653"/>
      <c r="Q97" s="107" t="s">
        <v>30</v>
      </c>
      <c r="R97" s="107" t="s">
        <v>301</v>
      </c>
      <c r="S97" s="652" t="s">
        <v>32</v>
      </c>
      <c r="T97" s="653"/>
      <c r="X97" s="127" t="s">
        <v>30</v>
      </c>
      <c r="Y97" s="127" t="s">
        <v>301</v>
      </c>
      <c r="Z97" s="588" t="s">
        <v>32</v>
      </c>
      <c r="AA97" s="641"/>
      <c r="AE97" s="127" t="s">
        <v>30</v>
      </c>
      <c r="AF97" s="127" t="s">
        <v>301</v>
      </c>
      <c r="AG97" s="588" t="s">
        <v>32</v>
      </c>
      <c r="AH97" s="641"/>
    </row>
    <row r="98" spans="10:34" ht="24" hidden="1">
      <c r="J98" s="59" t="str">
        <f>IF(K95&gt;15,"ลับที่สุด",IF(K94&gt;6,"ลับมาก",IF(K94&gt;4,"ลับ ",IF(K94&gt;2,"เผยแพร่ภายในองค์กร","เปิดเผย"))))</f>
        <v>ลับมาก</v>
      </c>
      <c r="K98" s="122" t="str">
        <f>IF(J98="ลับที่สุด",
    "Highly Protected Data",
    IF(OR(J98="ลับ",J98="ลับมาก"),
        "Protected Data",
        "Official Data"
    )
)</f>
        <v>Protected Data</v>
      </c>
      <c r="L98" s="642" t="str">
        <f>IF(UPPER(TRIM(K98))="HIGHLY PROTECTED DATA",
   "Sovereign Cloud",
   IF(OR(UPPER(TRIM(K98))="PROTECTED DATA",UPPER(TRIM(K98))="OFFICIAL DATA"),
      "Public Cloud",
      ""
   )
)</f>
        <v>Public Cloud</v>
      </c>
      <c r="M98" s="643"/>
      <c r="Q98" s="59" t="str">
        <f>IF(R95&gt;15,"ลับที่สุด",IF(R94&gt;6,"ลับมาก",IF(R94&gt;4,"ลับ ",IF(R94&gt;2,"เผยแพร่ภายในองค์กร","เปิดเผย"))))</f>
        <v xml:space="preserve">ลับ </v>
      </c>
      <c r="R98" s="122" t="str">
        <f>IF(Q98="ลับที่สุด",
    "Highly Protected Data",
    IF(OR(Q98="ลับ",Q98="ลับมาก"),
        "Protected Data",
        "Official Data"
    )
)</f>
        <v>Official Data</v>
      </c>
      <c r="S98" s="642" t="str">
        <f>IF(UPPER(TRIM(R98))="HIGHLY PROTECTED DATA",
   "Sovereign Cloud",
   IF(OR(UPPER(TRIM(R98))="PROTECTED DATA",UPPER(TRIM(R98))="OFFICIAL DATA"),
      "Public Cloud",
      ""
   )
)</f>
        <v>Public Cloud</v>
      </c>
      <c r="T98" s="643"/>
      <c r="X98" s="59" t="str">
        <f>IF(Y95&gt;15,"ลับที่สุด",IF(Y94&gt;6,"ลับมาก",IF(Y94&gt;4,"ลับ ",IF(Y94&gt;2,"เผยแพร่ภายในองค์กร","เปิดเผย"))))</f>
        <v>เผยแพร่ภายในองค์กร</v>
      </c>
      <c r="Y98" s="122" t="str">
        <f>IF(X98="ลับที่สุด",
    "Highly Protected Data",
    IF(OR(X98="ลับ",X98="ลับมาก"),
        "Protected Data",
        "Official Data"
    )
)</f>
        <v>Official Data</v>
      </c>
      <c r="Z98" s="642" t="str">
        <f>IF(UPPER(TRIM(Y98))="HIGHLY PROTECTED DATA",
   "Sovereign Cloud",
   IF(OR(UPPER(TRIM(Y98))="PROTECTED DATA",UPPER(TRIM(Y98))="OFFICIAL DATA"),
      "Public Cloud",
      ""
   )
)</f>
        <v>Public Cloud</v>
      </c>
      <c r="AA98" s="643"/>
      <c r="AE98" s="59" t="str">
        <f>IF(AF95&gt;15,"ลับที่สุด",IF(AF94&gt;6,"ลับมาก",IF(AF94&gt;4,"ลับ ",IF(AF94&gt;2,"เผยแพร่ภายในองค์กร","เปิดเผย"))))</f>
        <v>เปิดเผย</v>
      </c>
      <c r="AF98" s="122" t="str">
        <f>IF(AE98="ลับที่สุด",
    "Highly Protected Data",
    IF(OR(AE98="ลับ",AE98="ลับมาก"),
        "Protected Data",
        "Official Data"
    )
)</f>
        <v>Official Data</v>
      </c>
      <c r="AG98" s="642" t="str">
        <f>IF(UPPER(TRIM(AF98))="HIGHLY PROTECTED DATA",
   "Sovereign Cloud",
   IF(OR(UPPER(TRIM(AF98))="PROTECTED DATA",UPPER(TRIM(AF98))="OFFICIAL DATA"),
      "Public Cloud",
      ""
   )
)</f>
        <v>Public Cloud</v>
      </c>
      <c r="AH98" s="643"/>
    </row>
  </sheetData>
  <mergeCells count="116">
    <mergeCell ref="AE87:AI87"/>
    <mergeCell ref="AG97:AH97"/>
    <mergeCell ref="AG98:AH98"/>
    <mergeCell ref="R42:S42"/>
    <mergeCell ref="X69:AB69"/>
    <mergeCell ref="AA62:AB62"/>
    <mergeCell ref="Y62:Z62"/>
    <mergeCell ref="W62:X62"/>
    <mergeCell ref="X85:AB85"/>
    <mergeCell ref="X87:AB87"/>
    <mergeCell ref="Z97:AA97"/>
    <mergeCell ref="Z98:AA98"/>
    <mergeCell ref="B52:AI52"/>
    <mergeCell ref="L97:M97"/>
    <mergeCell ref="L98:M98"/>
    <mergeCell ref="J85:N85"/>
    <mergeCell ref="Q85:U85"/>
    <mergeCell ref="Q87:U87"/>
    <mergeCell ref="S97:T97"/>
    <mergeCell ref="S98:T98"/>
    <mergeCell ref="S79:T79"/>
    <mergeCell ref="N42:O42"/>
    <mergeCell ref="P42:Q42"/>
    <mergeCell ref="C42:D42"/>
    <mergeCell ref="E42:F42"/>
    <mergeCell ref="G42:H42"/>
    <mergeCell ref="U41:AB41"/>
    <mergeCell ref="K16:L16"/>
    <mergeCell ref="B40:B42"/>
    <mergeCell ref="AE85:AI85"/>
    <mergeCell ref="U40:AB40"/>
    <mergeCell ref="J87:N87"/>
    <mergeCell ref="C16:D16"/>
    <mergeCell ref="E16:F16"/>
    <mergeCell ref="U54:AB54"/>
    <mergeCell ref="C33:D33"/>
    <mergeCell ref="E33:F33"/>
    <mergeCell ref="G33:H33"/>
    <mergeCell ref="I33:J33"/>
    <mergeCell ref="K33:L33"/>
    <mergeCell ref="C54:J54"/>
    <mergeCell ref="I16:J16"/>
    <mergeCell ref="U49:V49"/>
    <mergeCell ref="W49:X49"/>
    <mergeCell ref="Y49:Z49"/>
    <mergeCell ref="AA49:AB49"/>
    <mergeCell ref="C41:J41"/>
    <mergeCell ref="L41:S41"/>
    <mergeCell ref="L53:S53"/>
    <mergeCell ref="U53:AB53"/>
    <mergeCell ref="C53:J53"/>
    <mergeCell ref="B39:AI39"/>
    <mergeCell ref="AE69:AI69"/>
    <mergeCell ref="W42:X42"/>
    <mergeCell ref="Y42:Z42"/>
    <mergeCell ref="E79:F79"/>
    <mergeCell ref="E80:F80"/>
    <mergeCell ref="L79:M79"/>
    <mergeCell ref="L49:M49"/>
    <mergeCell ref="N49:O49"/>
    <mergeCell ref="P49:Q49"/>
    <mergeCell ref="R49:S49"/>
    <mergeCell ref="C69:G69"/>
    <mergeCell ref="Q68:U68"/>
    <mergeCell ref="I62:J62"/>
    <mergeCell ref="G62:H62"/>
    <mergeCell ref="E62:F62"/>
    <mergeCell ref="C62:D62"/>
    <mergeCell ref="C49:D49"/>
    <mergeCell ref="E49:F49"/>
    <mergeCell ref="G49:H49"/>
    <mergeCell ref="I49:J49"/>
    <mergeCell ref="U62:V62"/>
    <mergeCell ref="R62:S62"/>
    <mergeCell ref="P62:Q62"/>
    <mergeCell ref="N62:O62"/>
    <mergeCell ref="L62:M62"/>
    <mergeCell ref="Q69:U69"/>
    <mergeCell ref="C68:G68"/>
    <mergeCell ref="AE68:AI68"/>
    <mergeCell ref="AL69:AP69"/>
    <mergeCell ref="AG79:AH79"/>
    <mergeCell ref="AG80:AH80"/>
    <mergeCell ref="AL68:AP68"/>
    <mergeCell ref="AN80:AO80"/>
    <mergeCell ref="AN79:AO79"/>
    <mergeCell ref="S80:T80"/>
    <mergeCell ref="L80:M80"/>
    <mergeCell ref="Z80:AA80"/>
    <mergeCell ref="Z79:AA79"/>
    <mergeCell ref="J68:N68"/>
    <mergeCell ref="J69:N69"/>
    <mergeCell ref="G4:H4"/>
    <mergeCell ref="G16:H16"/>
    <mergeCell ref="M16:N16"/>
    <mergeCell ref="O16:P16"/>
    <mergeCell ref="O4:P4"/>
    <mergeCell ref="M4:N4"/>
    <mergeCell ref="B67:B69"/>
    <mergeCell ref="B66:D66"/>
    <mergeCell ref="X68:AB68"/>
    <mergeCell ref="AA42:AB42"/>
    <mergeCell ref="K19:L19"/>
    <mergeCell ref="C4:D4"/>
    <mergeCell ref="I4:J4"/>
    <mergeCell ref="K4:L4"/>
    <mergeCell ref="L40:S40"/>
    <mergeCell ref="E4:F4"/>
    <mergeCell ref="C19:D19"/>
    <mergeCell ref="E19:F19"/>
    <mergeCell ref="G19:H19"/>
    <mergeCell ref="I19:J19"/>
    <mergeCell ref="C40:J40"/>
    <mergeCell ref="I42:J42"/>
    <mergeCell ref="U42:V42"/>
    <mergeCell ref="L42:M42"/>
  </mergeCells>
  <conditionalFormatting sqref="B7:B8">
    <cfRule type="cellIs" dxfId="140" priority="226" operator="equal">
      <formula>"list1"</formula>
    </cfRule>
    <cfRule type="cellIs" dxfId="139" priority="227" operator="equal">
      <formula>" "</formula>
    </cfRule>
    <cfRule type="cellIs" dxfId="138" priority="218" operator="equal">
      <formula>"คลิกที่นี่ เพื่อประเมินระดับชั้นข้อมูล/ประเภทข้อมูล ต่อไป "</formula>
    </cfRule>
  </conditionalFormatting>
  <conditionalFormatting sqref="B11:B13">
    <cfRule type="containsText" dxfId="137" priority="217" operator="containsText" text="ลับมาก">
      <formula>NOT(ISERROR(SEARCH("ลับมาก",B11)))</formula>
    </cfRule>
    <cfRule type="containsText" dxfId="136" priority="216" operator="containsText" text="ลับ ">
      <formula>NOT(ISERROR(SEARCH("ลับ ",B11)))</formula>
    </cfRule>
    <cfRule type="containsText" dxfId="135" priority="215" operator="containsText" text="เปิดเผย">
      <formula>NOT(ISERROR(SEARCH("เปิดเผย",B11)))</formula>
    </cfRule>
    <cfRule type="containsText" dxfId="134" priority="214" operator="containsText" text="เผยแพร่ภายในองค์กร">
      <formula>NOT(ISERROR(SEARCH("เผยแพร่ภายในองค์กร",B11)))</formula>
    </cfRule>
    <cfRule type="cellIs" dxfId="133" priority="213" operator="equal">
      <formula>"คลิกที่นี่ เพื่อประเมินระดับชั้นข้อมูล/ประเภทข้อมูล ต่อไป"</formula>
    </cfRule>
    <cfRule type="cellIs" dxfId="132" priority="210" stopIfTrue="1" operator="equal">
      <formula>"สอดคล้องตามนโยบาย และแผนความมั่นคงแห่งชาติฯ* หรือไม่ ?"</formula>
    </cfRule>
    <cfRule type="cellIs" dxfId="131" priority="206" operator="equal">
      <formula>"จบคำถามในส่วนที่ 1"</formula>
    </cfRule>
  </conditionalFormatting>
  <conditionalFormatting sqref="B22">
    <cfRule type="cellIs" dxfId="130" priority="76" operator="equal">
      <formula>"คลิกที่นี่ เพื่อประเมินระดับชั้นข้อมูล/ประเภทข้อมูล ต่อไป "</formula>
    </cfRule>
    <cfRule type="cellIs" dxfId="129" priority="77" operator="equal">
      <formula>"list1"</formula>
    </cfRule>
    <cfRule type="cellIs" dxfId="128" priority="78" operator="equal">
      <formula>" "</formula>
    </cfRule>
  </conditionalFormatting>
  <conditionalFormatting sqref="B23:B30">
    <cfRule type="cellIs" dxfId="127" priority="70" stopIfTrue="1" operator="equal">
      <formula>"สอดคล้องตามนโยบาย และแผนความมั่นคงแห่งชาติฯ* หรือไม่ ?"</formula>
    </cfRule>
    <cfRule type="cellIs" dxfId="126" priority="71" operator="equal">
      <formula>"คลิกที่นี่ เพื่อประเมินระดับชั้นข้อมูล/ประเภทข้อมูล ต่อไป"</formula>
    </cfRule>
    <cfRule type="cellIs" dxfId="125" priority="69" operator="equal">
      <formula>"จบคำถามในส่วนที่ 1"</formula>
    </cfRule>
    <cfRule type="containsText" dxfId="124" priority="72" operator="containsText" text="เผยแพร่ภายในองค์กร">
      <formula>NOT(ISERROR(SEARCH("เผยแพร่ภายในองค์กร",B23)))</formula>
    </cfRule>
    <cfRule type="containsText" dxfId="123" priority="73" operator="containsText" text="เปิดเผย">
      <formula>NOT(ISERROR(SEARCH("เปิดเผย",B23)))</formula>
    </cfRule>
    <cfRule type="containsText" dxfId="122" priority="74" operator="containsText" text="ลับ ">
      <formula>NOT(ISERROR(SEARCH("ลับ ",B23)))</formula>
    </cfRule>
    <cfRule type="containsText" dxfId="121" priority="75" operator="containsText" text="ลับมาก">
      <formula>NOT(ISERROR(SEARCH("ลับมาก",B23)))</formula>
    </cfRule>
  </conditionalFormatting>
  <conditionalFormatting sqref="C9">
    <cfRule type="cellIs" dxfId="120" priority="1" operator="equal">
      <formula>"ไม่"</formula>
    </cfRule>
    <cfRule type="cellIs" dxfId="119" priority="2" operator="equal">
      <formula>" "</formula>
    </cfRule>
    <cfRule type="cellIs" dxfId="118" priority="3" operator="equal">
      <formula>"ใช่"</formula>
    </cfRule>
  </conditionalFormatting>
  <conditionalFormatting sqref="C11:C12">
    <cfRule type="cellIs" dxfId="117" priority="224" operator="equal">
      <formula>" "</formula>
    </cfRule>
    <cfRule type="cellIs" dxfId="116" priority="225" operator="equal">
      <formula>"ใช่"</formula>
    </cfRule>
    <cfRule type="cellIs" dxfId="115" priority="223" operator="equal">
      <formula>"ไม่"</formula>
    </cfRule>
  </conditionalFormatting>
  <conditionalFormatting sqref="C13">
    <cfRule type="cellIs" dxfId="114" priority="221" operator="equal">
      <formula>"ใช่"</formula>
    </cfRule>
    <cfRule type="cellIs" dxfId="113" priority="220" operator="equal">
      <formula>"ไม่"</formula>
    </cfRule>
    <cfRule type="cellIs" dxfId="112" priority="211" operator="equal">
      <formula>"สอดคล้องตามนโยบาย และแผนความมั่นคงแห่งชาติฯ* หรือไม่ ?"</formula>
    </cfRule>
    <cfRule type="cellIs" dxfId="111" priority="219" operator="equal">
      <formula>"ใช่"</formula>
    </cfRule>
  </conditionalFormatting>
  <conditionalFormatting sqref="C25:C26">
    <cfRule type="cellIs" dxfId="110" priority="183" operator="equal">
      <formula>"ไม่"</formula>
    </cfRule>
    <cfRule type="cellIs" dxfId="109" priority="184" operator="equal">
      <formula>" "</formula>
    </cfRule>
    <cfRule type="cellIs" dxfId="108" priority="185" operator="equal">
      <formula>"ใช่"</formula>
    </cfRule>
  </conditionalFormatting>
  <conditionalFormatting sqref="C27:C30">
    <cfRule type="cellIs" dxfId="107" priority="182" operator="equal">
      <formula>"ใช่"</formula>
    </cfRule>
    <cfRule type="cellIs" dxfId="106" priority="181" operator="equal">
      <formula>"ไม่"</formula>
    </cfRule>
    <cfRule type="cellIs" dxfId="105" priority="180" operator="equal">
      <formula>"ใช่"</formula>
    </cfRule>
    <cfRule type="cellIs" dxfId="104" priority="179" operator="equal">
      <formula>"สอดคล้องตามนโยบาย และแผนความมั่นคงแห่งชาติฯ* หรือไม่ ?"</formula>
    </cfRule>
  </conditionalFormatting>
  <conditionalFormatting sqref="C80:D80">
    <cfRule type="containsText" dxfId="103" priority="169" operator="containsText" text="เผยแพร่ภายในองค์กร">
      <formula>NOT(ISERROR(SEARCH("เผยแพร่ภายในองค์กร",C80)))</formula>
    </cfRule>
    <cfRule type="containsText" dxfId="102" priority="173" operator="containsText" text="ลับที่สุด">
      <formula>NOT(ISERROR(SEARCH("ลับที่สุด",C80)))</formula>
    </cfRule>
    <cfRule type="containsText" dxfId="101" priority="172" operator="containsText" text="ลับมาก">
      <formula>NOT(ISERROR(SEARCH("ลับมาก",C80)))</formula>
    </cfRule>
    <cfRule type="containsText" dxfId="100" priority="171" stopIfTrue="1" operator="containsText" text="ลับ ">
      <formula>NOT(ISERROR(SEARCH("ลับ ",C80)))</formula>
    </cfRule>
    <cfRule type="containsText" dxfId="99" priority="170" operator="containsText" text="เปิดเผย">
      <formula>NOT(ISERROR(SEARCH("เปิดเผย",C80)))</formula>
    </cfRule>
  </conditionalFormatting>
  <conditionalFormatting sqref="J94">
    <cfRule type="containsText" dxfId="98" priority="128" operator="containsText" text="สูงมาก">
      <formula>NOT(ISERROR(SEARCH("สูงมาก",J94)))</formula>
    </cfRule>
    <cfRule type="containsText" dxfId="97" priority="127" operator="containsText" text="ปานกลาง">
      <formula>NOT(ISERROR(SEARCH("ปานกลาง",J94)))</formula>
    </cfRule>
    <cfRule type="containsText" dxfId="96" priority="126" operator="containsText" text="ต่ำมาก">
      <formula>NOT(ISERROR(SEARCH("ต่ำมาก",J94)))</formula>
    </cfRule>
    <cfRule type="containsText" dxfId="95" priority="125" operator="containsText" text="ต่ำ">
      <formula>NOT(ISERROR(SEARCH("ต่ำ",J94)))</formula>
    </cfRule>
    <cfRule type="containsText" dxfId="94" priority="124" operator="containsText" text="สูง">
      <formula>NOT(ISERROR(SEARCH("สูง",J94)))</formula>
    </cfRule>
  </conditionalFormatting>
  <conditionalFormatting sqref="J80:K80">
    <cfRule type="containsText" dxfId="93" priority="38" operator="containsText" text="ลับที่สุด">
      <formula>NOT(ISERROR(SEARCH("ลับที่สุด",J80)))</formula>
    </cfRule>
    <cfRule type="containsText" dxfId="92" priority="37" operator="containsText" text="ลับมาก">
      <formula>NOT(ISERROR(SEARCH("ลับมาก",J80)))</formula>
    </cfRule>
    <cfRule type="containsText" dxfId="91" priority="36" stopIfTrue="1" operator="containsText" text="ลับ ">
      <formula>NOT(ISERROR(SEARCH("ลับ ",J80)))</formula>
    </cfRule>
    <cfRule type="containsText" dxfId="90" priority="35" operator="containsText" text="เปิดเผย">
      <formula>NOT(ISERROR(SEARCH("เปิดเผย",J80)))</formula>
    </cfRule>
    <cfRule type="containsText" dxfId="89" priority="34" operator="containsText" text="เผยแพร่ภายในองค์กร">
      <formula>NOT(ISERROR(SEARCH("เผยแพร่ภายในองค์กร",J80)))</formula>
    </cfRule>
  </conditionalFormatting>
  <conditionalFormatting sqref="J98:K98">
    <cfRule type="containsText" dxfId="88" priority="138" operator="containsText" text="ลับที่สุด">
      <formula>NOT(ISERROR(SEARCH("ลับที่สุด",J98)))</formula>
    </cfRule>
    <cfRule type="containsText" dxfId="87" priority="137" operator="containsText" text="ลับมาก">
      <formula>NOT(ISERROR(SEARCH("ลับมาก",J98)))</formula>
    </cfRule>
    <cfRule type="containsText" dxfId="86" priority="136" stopIfTrue="1" operator="containsText" text="ลับ ">
      <formula>NOT(ISERROR(SEARCH("ลับ ",J98)))</formula>
    </cfRule>
    <cfRule type="containsText" dxfId="85" priority="135" operator="containsText" text="เปิดเผย">
      <formula>NOT(ISERROR(SEARCH("เปิดเผย",J98)))</formula>
    </cfRule>
    <cfRule type="containsText" dxfId="84" priority="134" operator="containsText" text="เผยแพร่ภายในองค์กร">
      <formula>NOT(ISERROR(SEARCH("เผยแพร่ภายในองค์กร",J98)))</formula>
    </cfRule>
  </conditionalFormatting>
  <conditionalFormatting sqref="Q94">
    <cfRule type="containsText" dxfId="83" priority="92" operator="containsText" text="ปานกลาง">
      <formula>NOT(ISERROR(SEARCH("ปานกลาง",Q94)))</formula>
    </cfRule>
    <cfRule type="containsText" dxfId="82" priority="93" operator="containsText" text="สูงมาก">
      <formula>NOT(ISERROR(SEARCH("สูงมาก",Q94)))</formula>
    </cfRule>
    <cfRule type="containsText" dxfId="81" priority="89" operator="containsText" text="สูง">
      <formula>NOT(ISERROR(SEARCH("สูง",Q94)))</formula>
    </cfRule>
    <cfRule type="containsText" dxfId="80" priority="90" operator="containsText" text="ต่ำ">
      <formula>NOT(ISERROR(SEARCH("ต่ำ",Q94)))</formula>
    </cfRule>
    <cfRule type="containsText" dxfId="79" priority="91" operator="containsText" text="ต่ำมาก">
      <formula>NOT(ISERROR(SEARCH("ต่ำมาก",Q94)))</formula>
    </cfRule>
  </conditionalFormatting>
  <conditionalFormatting sqref="Q80:R80">
    <cfRule type="containsText" dxfId="78" priority="32" operator="containsText" text="ลับมาก">
      <formula>NOT(ISERROR(SEARCH("ลับมาก",Q80)))</formula>
    </cfRule>
    <cfRule type="containsText" dxfId="77" priority="33" operator="containsText" text="ลับที่สุด">
      <formula>NOT(ISERROR(SEARCH("ลับที่สุด",Q80)))</formula>
    </cfRule>
    <cfRule type="containsText" dxfId="76" priority="29" operator="containsText" text="เผยแพร่ภายในองค์กร">
      <formula>NOT(ISERROR(SEARCH("เผยแพร่ภายในองค์กร",Q80)))</formula>
    </cfRule>
    <cfRule type="containsText" dxfId="75" priority="30" operator="containsText" text="เปิดเผย">
      <formula>NOT(ISERROR(SEARCH("เปิดเผย",Q80)))</formula>
    </cfRule>
    <cfRule type="containsText" dxfId="74" priority="31" stopIfTrue="1" operator="containsText" text="ลับ ">
      <formula>NOT(ISERROR(SEARCH("ลับ ",Q80)))</formula>
    </cfRule>
  </conditionalFormatting>
  <conditionalFormatting sqref="Q98:R98">
    <cfRule type="containsText" dxfId="73" priority="95" operator="containsText" text="เปิดเผย">
      <formula>NOT(ISERROR(SEARCH("เปิดเผย",Q98)))</formula>
    </cfRule>
    <cfRule type="containsText" dxfId="72" priority="94" operator="containsText" text="เผยแพร่ภายในองค์กร">
      <formula>NOT(ISERROR(SEARCH("เผยแพร่ภายในองค์กร",Q98)))</formula>
    </cfRule>
    <cfRule type="containsText" dxfId="71" priority="96" stopIfTrue="1" operator="containsText" text="ลับ ">
      <formula>NOT(ISERROR(SEARCH("ลับ ",Q98)))</formula>
    </cfRule>
    <cfRule type="containsText" dxfId="70" priority="97" operator="containsText" text="ลับมาก">
      <formula>NOT(ISERROR(SEARCH("ลับมาก",Q98)))</formula>
    </cfRule>
    <cfRule type="containsText" dxfId="69" priority="98" operator="containsText" text="ลับที่สุด">
      <formula>NOT(ISERROR(SEARCH("ลับที่สุด",Q98)))</formula>
    </cfRule>
  </conditionalFormatting>
  <conditionalFormatting sqref="X94">
    <cfRule type="containsText" dxfId="68" priority="63" operator="containsText" text="สูงมาก">
      <formula>NOT(ISERROR(SEARCH("สูงมาก",X94)))</formula>
    </cfRule>
    <cfRule type="containsText" dxfId="67" priority="62" operator="containsText" text="ปานกลาง">
      <formula>NOT(ISERROR(SEARCH("ปานกลาง",X94)))</formula>
    </cfRule>
    <cfRule type="containsText" dxfId="66" priority="61" operator="containsText" text="ต่ำมาก">
      <formula>NOT(ISERROR(SEARCH("ต่ำมาก",X94)))</formula>
    </cfRule>
    <cfRule type="containsText" dxfId="65" priority="60" operator="containsText" text="ต่ำ">
      <formula>NOT(ISERROR(SEARCH("ต่ำ",X94)))</formula>
    </cfRule>
    <cfRule type="containsText" dxfId="64" priority="59" operator="containsText" text="สูง">
      <formula>NOT(ISERROR(SEARCH("สูง",X94)))</formula>
    </cfRule>
  </conditionalFormatting>
  <conditionalFormatting sqref="X80:Y80">
    <cfRule type="containsText" dxfId="63" priority="4" operator="containsText" text="เผยแพร่ภายในองค์กร">
      <formula>NOT(ISERROR(SEARCH("เผยแพร่ภายในองค์กร",X80)))</formula>
    </cfRule>
    <cfRule type="containsText" dxfId="62" priority="6" stopIfTrue="1" operator="containsText" text="ลับ ">
      <formula>NOT(ISERROR(SEARCH("ลับ ",X80)))</formula>
    </cfRule>
    <cfRule type="containsText" dxfId="61" priority="7" operator="containsText" text="ลับมาก">
      <formula>NOT(ISERROR(SEARCH("ลับมาก",X80)))</formula>
    </cfRule>
    <cfRule type="containsText" dxfId="60" priority="8" operator="containsText" text="ลับที่สุด">
      <formula>NOT(ISERROR(SEARCH("ลับที่สุด",X80)))</formula>
    </cfRule>
    <cfRule type="containsText" dxfId="59" priority="5" operator="containsText" text="เปิดเผย">
      <formula>NOT(ISERROR(SEARCH("เปิดเผย",X80)))</formula>
    </cfRule>
  </conditionalFormatting>
  <conditionalFormatting sqref="X98:Y98">
    <cfRule type="containsText" dxfId="58" priority="64" operator="containsText" text="เผยแพร่ภายในองค์กร">
      <formula>NOT(ISERROR(SEARCH("เผยแพร่ภายในองค์กร",X98)))</formula>
    </cfRule>
    <cfRule type="containsText" dxfId="57" priority="67" operator="containsText" text="ลับมาก">
      <formula>NOT(ISERROR(SEARCH("ลับมาก",X98)))</formula>
    </cfRule>
    <cfRule type="containsText" dxfId="56" priority="66" stopIfTrue="1" operator="containsText" text="ลับ ">
      <formula>NOT(ISERROR(SEARCH("ลับ ",X98)))</formula>
    </cfRule>
    <cfRule type="containsText" dxfId="55" priority="65" operator="containsText" text="เปิดเผย">
      <formula>NOT(ISERROR(SEARCH("เปิดเผย",X98)))</formula>
    </cfRule>
    <cfRule type="containsText" dxfId="54" priority="68" operator="containsText" text="ลับที่สุด">
      <formula>NOT(ISERROR(SEARCH("ลับที่สุด",X98)))</formula>
    </cfRule>
  </conditionalFormatting>
  <conditionalFormatting sqref="AE76">
    <cfRule type="containsText" dxfId="53" priority="15" operator="containsText" text="ต่ำ">
      <formula>NOT(ISERROR(SEARCH("ต่ำ",AE76)))</formula>
    </cfRule>
    <cfRule type="containsText" dxfId="52" priority="14" operator="containsText" text="สูง">
      <formula>NOT(ISERROR(SEARCH("สูง",AE76)))</formula>
    </cfRule>
    <cfRule type="containsText" dxfId="51" priority="16" operator="containsText" text="ต่ำมาก">
      <formula>NOT(ISERROR(SEARCH("ต่ำมาก",AE76)))</formula>
    </cfRule>
    <cfRule type="containsText" dxfId="50" priority="18" operator="containsText" text="สูงมาก">
      <formula>NOT(ISERROR(SEARCH("สูงมาก",AE76)))</formula>
    </cfRule>
    <cfRule type="containsText" dxfId="49" priority="17" operator="containsText" text="ปานกลาง">
      <formula>NOT(ISERROR(SEARCH("ปานกลาง",AE76)))</formula>
    </cfRule>
  </conditionalFormatting>
  <conditionalFormatting sqref="AE94">
    <cfRule type="containsText" dxfId="48" priority="42" operator="containsText" text="ปานกลาง">
      <formula>NOT(ISERROR(SEARCH("ปานกลาง",AE94)))</formula>
    </cfRule>
    <cfRule type="containsText" dxfId="47" priority="40" operator="containsText" text="ต่ำมาก">
      <formula>NOT(ISERROR(SEARCH("ต่ำมาก",AE94)))</formula>
    </cfRule>
    <cfRule type="containsText" dxfId="46" priority="39" operator="containsText" text="สูง">
      <formula>NOT(ISERROR(SEARCH("สูง",AE94)))</formula>
    </cfRule>
    <cfRule type="containsText" dxfId="45" priority="41" operator="containsText" text="ต่ำ">
      <formula>NOT(ISERROR(SEARCH("ต่ำ",AE94)))</formula>
    </cfRule>
    <cfRule type="containsText" dxfId="44" priority="43" operator="containsText" text="สูงมาก">
      <formula>NOT(ISERROR(SEARCH("สูงมาก",AE94)))</formula>
    </cfRule>
  </conditionalFormatting>
  <conditionalFormatting sqref="AE80:AF80">
    <cfRule type="containsText" dxfId="43" priority="20" operator="containsText" text="เปิดเผย">
      <formula>NOT(ISERROR(SEARCH("เปิดเผย",AE80)))</formula>
    </cfRule>
    <cfRule type="containsText" dxfId="42" priority="22" operator="containsText" text="ลับมาก">
      <formula>NOT(ISERROR(SEARCH("ลับมาก",AE80)))</formula>
    </cfRule>
    <cfRule type="containsText" dxfId="41" priority="21" stopIfTrue="1" operator="containsText" text="ลับ ">
      <formula>NOT(ISERROR(SEARCH("ลับ ",AE80)))</formula>
    </cfRule>
    <cfRule type="containsText" dxfId="40" priority="19" operator="containsText" text="เผยแพร่ภายในองค์กร">
      <formula>NOT(ISERROR(SEARCH("เผยแพร่ภายในองค์กร",AE80)))</formula>
    </cfRule>
    <cfRule type="containsText" dxfId="39" priority="23" operator="containsText" text="ลับที่สุด">
      <formula>NOT(ISERROR(SEARCH("ลับที่สุด",AE80)))</formula>
    </cfRule>
  </conditionalFormatting>
  <conditionalFormatting sqref="AE98:AF98">
    <cfRule type="containsText" dxfId="38" priority="48" operator="containsText" text="ลับที่สุด">
      <formula>NOT(ISERROR(SEARCH("ลับที่สุด",AE98)))</formula>
    </cfRule>
    <cfRule type="containsText" dxfId="37" priority="46" stopIfTrue="1" operator="containsText" text="ลับ ">
      <formula>NOT(ISERROR(SEARCH("ลับ ",AE98)))</formula>
    </cfRule>
    <cfRule type="containsText" dxfId="36" priority="45" operator="containsText" text="เปิดเผย">
      <formula>NOT(ISERROR(SEARCH("เปิดเผย",AE98)))</formula>
    </cfRule>
    <cfRule type="containsText" dxfId="35" priority="47" operator="containsText" text="ลับมาก">
      <formula>NOT(ISERROR(SEARCH("ลับมาก",AE98)))</formula>
    </cfRule>
    <cfRule type="containsText" dxfId="34" priority="44" operator="containsText" text="เผยแพร่ภายในองค์กร">
      <formula>NOT(ISERROR(SEARCH("เผยแพร่ภายในองค์กร",AE98)))</formula>
    </cfRule>
  </conditionalFormatting>
  <conditionalFormatting sqref="AL76">
    <cfRule type="containsText" dxfId="33" priority="53" operator="containsText" text="สูงมาก">
      <formula>NOT(ISERROR(SEARCH("สูงมาก",AL76)))</formula>
    </cfRule>
    <cfRule type="containsText" dxfId="32" priority="49" operator="containsText" text="สูง">
      <formula>NOT(ISERROR(SEARCH("สูง",AL76)))</formula>
    </cfRule>
    <cfRule type="containsText" dxfId="31" priority="50" operator="containsText" text="ต่ำมาก">
      <formula>NOT(ISERROR(SEARCH("ต่ำมาก",AL76)))</formula>
    </cfRule>
    <cfRule type="containsText" dxfId="30" priority="51" operator="containsText" text="ต่ำ">
      <formula>NOT(ISERROR(SEARCH("ต่ำ",AL76)))</formula>
    </cfRule>
    <cfRule type="containsText" dxfId="29" priority="52" operator="containsText" text="ปานกลาง">
      <formula>NOT(ISERROR(SEARCH("ปานกลาง",AL76)))</formula>
    </cfRule>
  </conditionalFormatting>
  <conditionalFormatting sqref="AL80:AM80">
    <cfRule type="containsText" dxfId="28" priority="55" operator="containsText" text="เปิดเผย">
      <formula>NOT(ISERROR(SEARCH("เปิดเผย",AL80)))</formula>
    </cfRule>
    <cfRule type="containsText" dxfId="27" priority="58" operator="containsText" text="ลับที่สุด">
      <formula>NOT(ISERROR(SEARCH("ลับที่สุด",AL80)))</formula>
    </cfRule>
    <cfRule type="containsText" dxfId="26" priority="54" operator="containsText" text="เผยแพร่ภายในองค์กร">
      <formula>NOT(ISERROR(SEARCH("เผยแพร่ภายในองค์กร",AL80)))</formula>
    </cfRule>
    <cfRule type="containsText" dxfId="25" priority="56" stopIfTrue="1" operator="containsText" text="ลับ ">
      <formula>NOT(ISERROR(SEARCH("ลับ ",AL80)))</formula>
    </cfRule>
    <cfRule type="containsText" dxfId="24" priority="57" operator="containsText" text="ลับมาก">
      <formula>NOT(ISERROR(SEARCH("ลับมาก",AL80)))</formula>
    </cfRule>
  </conditionalFormatting>
  <dataValidations count="7">
    <dataValidation type="list" allowBlank="1" showInputMessage="1" showErrorMessage="1" sqref="C11:C12" xr:uid="{4C76A544-83EF-4939-B1B1-19DFCD555468}">
      <formula1>INDIRECT(IF(TRIM(B11)="เป็นตาม ม.15* ตาม พรบ. ข่าวสารฯหรือไม่ ?","list1","empty"))</formula1>
    </dataValidation>
    <dataValidation type="list" allowBlank="1" showInputMessage="1" showErrorMessage="1" sqref="C13" xr:uid="{8EA75CF0-1D0C-4FC5-842A-71559C9E036A}">
      <formula1>INDIRECT(IF(TRIM(B13)="เป็นข่าวสารลับที่สุดตามระเบียบข่าวสารฯ หรือไม่ ?","list1","empty"))</formula1>
    </dataValidation>
    <dataValidation type="list" allowBlank="1" showInputMessage="1" showErrorMessage="1" sqref="C30" xr:uid="{8E38EA88-7014-4126-9FF6-AD4B289EFF14}">
      <formula1>INDIRECT(IF(TRIM(P14)="เป็นข่าวสารลับที่สุดตามระเบียบข่าวสารฯ หรือไม่ ?","list1","empty"))</formula1>
    </dataValidation>
    <dataValidation type="list" allowBlank="1" showInputMessage="1" showErrorMessage="1" sqref="C27:C28" xr:uid="{8C1A5908-66AD-4829-A5C3-5138D7095B8A}">
      <formula1>INDIRECT(IF(TRIM(P13)="เป็นข่าวสารลับที่สุดตามระเบียบข่าวสารฯ หรือไม่ ?","list1","empty"))</formula1>
    </dataValidation>
    <dataValidation type="list" allowBlank="1" showInputMessage="1" showErrorMessage="1" sqref="C29" xr:uid="{1E945965-045D-4A3C-B537-A58AE89904BB}">
      <formula1>INDIRECT(IF(TRIM(P14)="เป็นข่าวสารลับที่สุดตามระเบียบข่าวสารฯ หรือไม่ ?","list1","empty"))</formula1>
    </dataValidation>
    <dataValidation type="list" allowBlank="1" showInputMessage="1" showErrorMessage="1" sqref="C25" xr:uid="{B9ABCCE5-CEDC-4E95-8C5A-8CB7FDA8911B}">
      <formula1>INDIRECT(IF(TRIM(P11)="เป็นตาม ม.15* ตาม พรบ. ข่าวสารฯหรือไม่ ?","list1","empty"))</formula1>
    </dataValidation>
    <dataValidation type="list" allowBlank="1" showInputMessage="1" showErrorMessage="1" sqref="C26" xr:uid="{6D506881-8708-4D52-897F-D5D29B7B3C66}">
      <formula1>INDIRECT(IF(TRIM(P13)="เป็นตาม ม.15* ตาม พรบ. ข่าวสารฯหรือไม่ ?","list1","empty"))</formula1>
    </dataValidation>
  </dataValidations>
  <pageMargins left="0.7" right="0.7" top="0.75" bottom="0.75" header="0.3" footer="0.3"/>
  <pageSetup paperSize="9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86B56F0D-0438-4147-8D97-5F4F916C2FC5}">
          <x14:formula1>
            <xm:f>Dropdown!$D$12:$D$14</xm:f>
          </x14:formula1>
          <xm:sqref>C45 E45 G45 I45 L45 N45 P45 R45 U45 W45 Y45 AA45 C58 E58 G58 I58 L58 N58 P58 R58 U58 W58 Y58 AA58</xm:sqref>
        </x14:dataValidation>
        <x14:dataValidation type="list" allowBlank="1" showInputMessage="1" showErrorMessage="1" xr:uid="{FA0C946F-60A4-421A-8130-2FD4B3F04FAC}">
          <x14:formula1>
            <xm:f>Dropdown!$C$12:$C$14</xm:f>
          </x14:formula1>
          <xm:sqref>C44 E44 G44 I44 L44 N44 P44 R44 U44 W44 Y44 AA44 C57 E57 G57 I57 L57 N57 P57 R57 U57 W57 Y57 AA57</xm:sqref>
        </x14:dataValidation>
        <x14:dataValidation type="list" allowBlank="1" showInputMessage="1" showErrorMessage="1" xr:uid="{BCD166E0-EA07-49F4-86E0-085E414B183C}">
          <x14:formula1>
            <xm:f>Dropdown!$E$12:$E$14</xm:f>
          </x14:formula1>
          <xm:sqref>C46 E46 G46 I46 L46 N46 P46 R46 U46 W46 Y46 AA46 C59 E59 G59 I59 L59 N59 P59 R59 U59 W59 Y59 AA59</xm:sqref>
        </x14:dataValidation>
        <x14:dataValidation type="list" allowBlank="1" showInputMessage="1" showErrorMessage="1" xr:uid="{88C6106F-F838-471F-B99B-2F43AC243E87}">
          <x14:formula1>
            <xm:f>Dropdown!$E$38:$E$40</xm:f>
          </x14:formula1>
          <xm:sqref>C73 X73 Q73 J91 J73 Q91 AE73 X91 AL73 AE91</xm:sqref>
        </x14:dataValidation>
        <x14:dataValidation type="list" allowBlank="1" showInputMessage="1" showErrorMessage="1" xr:uid="{90766EC5-78D5-4850-9BDE-1A518C532532}">
          <x14:formula1>
            <xm:f>Dropdown!$C$38:$C$40</xm:f>
          </x14:formula1>
          <xm:sqref>C71 X71 Q71 J89 J71 Q89 AE71 X89 AL71 AE89</xm:sqref>
        </x14:dataValidation>
        <x14:dataValidation type="list" allowBlank="1" showInputMessage="1" showErrorMessage="1" xr:uid="{151C34F2-745F-428B-8E19-07E6527EC729}">
          <x14:formula1>
            <xm:f>Dropdown!$D$38:$D$40</xm:f>
          </x14:formula1>
          <xm:sqref>C72 X72 Q72 J90 J72 Q90 AE72 X90 AL72 AE90</xm:sqref>
        </x14:dataValidation>
        <x14:dataValidation type="list" allowBlank="1" showInputMessage="1" showErrorMessage="1" xr:uid="{47A20357-2FE9-480A-BB93-475F72ADF77B}">
          <x14:formula1>
            <xm:f>Dropdown!$F$38:$F$40</xm:f>
          </x14:formula1>
          <xm:sqref>C74 X74 Q74 J92 J74 Q92 AE74 X92 AL74 AE92</xm:sqref>
        </x14:dataValidation>
        <x14:dataValidation type="list" allowBlank="1" showInputMessage="1" showErrorMessage="1" xr:uid="{69CA57FB-6B85-4171-8174-CB5021CF23F9}">
          <x14:formula1>
            <xm:f>Dropdown!$J$38:$J$42</xm:f>
          </x14:formula1>
          <xm:sqref>E71:E75 AG89:AG93 AN71:AN75 Z89:Z93 AG71:AG75 S89:S93 L71:L75 L89:L93 S71:S75 Z71:Z75</xm:sqref>
        </x14:dataValidation>
        <x14:dataValidation type="list" allowBlank="1" showInputMessage="1" showErrorMessage="1" xr:uid="{BF450AE3-06B5-48AF-9C2F-CD05F7590B6C}">
          <x14:formula1>
            <xm:f>Dropdown!$K$2:$K$3</xm:f>
          </x14:formula1>
          <xm:sqref>E27:E30 I61 M6:M12 E13 E32 C6:C7 C21:C22 G21:G26 E21:E24 K21:K30 I21:I30 C61 E61 G61 K6:K12 G6:G10 I13 I6:I10 E6:E9 G13 O6:O13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E0AC6-AAFF-43A9-8B6E-0DA12BFCBC5C}">
  <dimension ref="A1:AA21"/>
  <sheetViews>
    <sheetView zoomScale="80" zoomScaleNormal="80" workbookViewId="0">
      <pane xSplit="2" ySplit="1" topLeftCell="C2" activePane="bottomRight" state="frozen"/>
      <selection pane="bottomRight" activeCell="H1" sqref="H1:H1048576"/>
      <selection pane="bottomLeft" activeCell="A2" sqref="A2"/>
      <selection pane="topRight" activeCell="C1" sqref="C1"/>
    </sheetView>
  </sheetViews>
  <sheetFormatPr defaultRowHeight="14.1"/>
  <cols>
    <col min="1" max="1" width="15.125" customWidth="1"/>
    <col min="2" max="2" width="17" customWidth="1"/>
    <col min="15" max="15" width="8.625" style="56"/>
  </cols>
  <sheetData>
    <row r="1" spans="1:27">
      <c r="C1" s="290" t="s">
        <v>317</v>
      </c>
      <c r="D1" s="291"/>
      <c r="E1" s="291"/>
      <c r="F1" s="291"/>
      <c r="G1" s="291"/>
      <c r="H1" s="291"/>
      <c r="I1" s="291"/>
      <c r="J1" s="292"/>
      <c r="L1" s="654" t="s">
        <v>318</v>
      </c>
      <c r="M1" s="655"/>
      <c r="N1" s="655"/>
      <c r="O1" s="275"/>
      <c r="P1" s="654" t="s">
        <v>319</v>
      </c>
      <c r="Q1" s="655"/>
      <c r="R1" s="655"/>
      <c r="S1" s="655"/>
      <c r="T1" s="655"/>
      <c r="U1" s="655"/>
      <c r="V1" s="655"/>
      <c r="W1" s="655"/>
      <c r="X1" s="655"/>
      <c r="Y1" s="655"/>
      <c r="Z1" s="655"/>
      <c r="AA1" s="656"/>
    </row>
    <row r="2" spans="1:27" ht="24">
      <c r="A2" s="44" t="s">
        <v>320</v>
      </c>
      <c r="B2" s="44" t="s">
        <v>12</v>
      </c>
      <c r="C2" s="274" t="s">
        <v>321</v>
      </c>
      <c r="D2" s="274" t="s">
        <v>322</v>
      </c>
      <c r="E2" s="274" t="s">
        <v>323</v>
      </c>
      <c r="F2" s="274" t="s">
        <v>324</v>
      </c>
      <c r="G2" s="274" t="s">
        <v>325</v>
      </c>
      <c r="H2" s="274" t="s">
        <v>326</v>
      </c>
      <c r="I2" s="274" t="s">
        <v>327</v>
      </c>
      <c r="J2" s="274" t="s">
        <v>328</v>
      </c>
      <c r="L2" s="274" t="s">
        <v>329</v>
      </c>
      <c r="M2" s="274" t="s">
        <v>330</v>
      </c>
      <c r="N2" s="274" t="s">
        <v>331</v>
      </c>
      <c r="P2" s="281" t="s">
        <v>332</v>
      </c>
      <c r="Q2" s="281" t="s">
        <v>333</v>
      </c>
      <c r="R2" s="274" t="s">
        <v>334</v>
      </c>
      <c r="S2" s="274" t="s">
        <v>333</v>
      </c>
      <c r="T2" s="281" t="s">
        <v>335</v>
      </c>
      <c r="U2" s="281" t="s">
        <v>333</v>
      </c>
      <c r="V2" s="274" t="s">
        <v>336</v>
      </c>
      <c r="W2" s="274" t="s">
        <v>333</v>
      </c>
      <c r="X2" s="281" t="s">
        <v>337</v>
      </c>
      <c r="Y2" s="281" t="s">
        <v>333</v>
      </c>
    </row>
    <row r="3" spans="1:27" ht="21">
      <c r="A3" t="s">
        <v>249</v>
      </c>
      <c r="B3" t="s">
        <v>44</v>
      </c>
      <c r="C3" s="63" t="s">
        <v>33</v>
      </c>
      <c r="D3" s="63" t="s">
        <v>33</v>
      </c>
    </row>
    <row r="4" spans="1:27" ht="21">
      <c r="A4" t="s">
        <v>249</v>
      </c>
      <c r="B4" t="s">
        <v>44</v>
      </c>
      <c r="C4" s="63" t="s">
        <v>34</v>
      </c>
      <c r="D4" s="63" t="s">
        <v>33</v>
      </c>
    </row>
    <row r="5" spans="1:27" ht="24">
      <c r="A5" t="s">
        <v>338</v>
      </c>
      <c r="C5" s="63" t="s">
        <v>34</v>
      </c>
      <c r="D5" s="63" t="s">
        <v>34</v>
      </c>
      <c r="E5" s="63" t="s">
        <v>34</v>
      </c>
      <c r="L5" s="279" t="s">
        <v>339</v>
      </c>
      <c r="M5" s="279" t="s">
        <v>339</v>
      </c>
      <c r="N5" s="280" t="s">
        <v>339</v>
      </c>
      <c r="O5" s="80"/>
      <c r="P5" s="280" t="s">
        <v>339</v>
      </c>
      <c r="Q5" s="280" t="s">
        <v>340</v>
      </c>
      <c r="R5" s="280" t="s">
        <v>339</v>
      </c>
      <c r="S5" s="280" t="s">
        <v>340</v>
      </c>
      <c r="T5" s="280" t="s">
        <v>339</v>
      </c>
      <c r="U5" s="280" t="s">
        <v>340</v>
      </c>
      <c r="V5" s="280" t="s">
        <v>339</v>
      </c>
      <c r="W5" s="280" t="s">
        <v>340</v>
      </c>
      <c r="X5" s="280" t="s">
        <v>339</v>
      </c>
      <c r="Y5" s="280" t="s">
        <v>340</v>
      </c>
    </row>
    <row r="6" spans="1:27" ht="21">
      <c r="C6" s="63"/>
      <c r="D6" s="63"/>
    </row>
    <row r="7" spans="1:27" ht="21">
      <c r="C7" s="63"/>
      <c r="D7" s="63"/>
    </row>
    <row r="10" spans="1:27" ht="21">
      <c r="A10" t="s">
        <v>338</v>
      </c>
      <c r="C10" s="63" t="s">
        <v>33</v>
      </c>
      <c r="D10" s="63" t="s">
        <v>34</v>
      </c>
      <c r="E10" s="63" t="s">
        <v>34</v>
      </c>
    </row>
    <row r="11" spans="1:27" ht="21">
      <c r="A11" t="s">
        <v>338</v>
      </c>
      <c r="C11" s="63" t="s">
        <v>34</v>
      </c>
      <c r="D11" s="63" t="s">
        <v>34</v>
      </c>
      <c r="E11" s="63" t="s">
        <v>34</v>
      </c>
      <c r="F11" s="63" t="s">
        <v>34</v>
      </c>
      <c r="G11" s="63" t="s">
        <v>34</v>
      </c>
      <c r="H11" s="63" t="s">
        <v>34</v>
      </c>
    </row>
    <row r="12" spans="1:27" ht="21">
      <c r="A12" t="s">
        <v>338</v>
      </c>
      <c r="C12" s="63" t="s">
        <v>33</v>
      </c>
      <c r="D12" s="63" t="s">
        <v>34</v>
      </c>
      <c r="E12" s="63" t="s">
        <v>34</v>
      </c>
      <c r="F12" s="63" t="s">
        <v>34</v>
      </c>
      <c r="G12" s="63" t="s">
        <v>34</v>
      </c>
      <c r="H12" s="63" t="s">
        <v>34</v>
      </c>
    </row>
    <row r="13" spans="1:27" ht="21">
      <c r="A13" t="s">
        <v>338</v>
      </c>
      <c r="C13" s="63" t="s">
        <v>33</v>
      </c>
      <c r="D13" s="63" t="s">
        <v>34</v>
      </c>
      <c r="E13" s="63" t="s">
        <v>34</v>
      </c>
      <c r="F13" s="63" t="s">
        <v>34</v>
      </c>
      <c r="G13" s="63" t="s">
        <v>34</v>
      </c>
      <c r="H13" s="63" t="s">
        <v>33</v>
      </c>
      <c r="I13" s="63" t="s">
        <v>34</v>
      </c>
      <c r="J13" s="63"/>
    </row>
    <row r="14" spans="1:27" ht="21">
      <c r="A14" t="s">
        <v>341</v>
      </c>
      <c r="C14" s="63" t="s">
        <v>34</v>
      </c>
      <c r="D14" s="63" t="s">
        <v>34</v>
      </c>
      <c r="E14" s="63" t="s">
        <v>34</v>
      </c>
      <c r="F14" s="63" t="s">
        <v>33</v>
      </c>
      <c r="G14" s="63" t="s">
        <v>34</v>
      </c>
      <c r="H14" s="63"/>
      <c r="I14" s="63"/>
      <c r="J14" s="63"/>
    </row>
    <row r="15" spans="1:27" ht="21">
      <c r="A15" t="s">
        <v>341</v>
      </c>
      <c r="C15" s="63" t="s">
        <v>33</v>
      </c>
      <c r="D15" s="63" t="s">
        <v>34</v>
      </c>
      <c r="E15" s="63" t="s">
        <v>34</v>
      </c>
      <c r="F15" s="63" t="s">
        <v>33</v>
      </c>
      <c r="G15" s="63" t="s">
        <v>34</v>
      </c>
      <c r="H15" s="63"/>
      <c r="I15" s="63"/>
      <c r="J15" s="63"/>
    </row>
    <row r="16" spans="1:27" ht="21">
      <c r="A16" t="s">
        <v>342</v>
      </c>
      <c r="C16" s="63" t="s">
        <v>34</v>
      </c>
      <c r="D16" s="63" t="s">
        <v>34</v>
      </c>
      <c r="E16" s="63" t="s">
        <v>34</v>
      </c>
      <c r="F16" s="63" t="s">
        <v>34</v>
      </c>
      <c r="G16" s="63" t="s">
        <v>34</v>
      </c>
      <c r="H16" s="63" t="s">
        <v>33</v>
      </c>
      <c r="I16" s="63" t="s">
        <v>33</v>
      </c>
      <c r="J16" s="63" t="s">
        <v>34</v>
      </c>
    </row>
    <row r="17" spans="1:10" ht="21">
      <c r="A17" t="s">
        <v>342</v>
      </c>
      <c r="C17" s="63" t="s">
        <v>33</v>
      </c>
      <c r="D17" s="63" t="s">
        <v>34</v>
      </c>
      <c r="E17" s="63" t="s">
        <v>34</v>
      </c>
      <c r="F17" s="63" t="s">
        <v>34</v>
      </c>
      <c r="G17" s="63" t="s">
        <v>34</v>
      </c>
      <c r="H17" s="63" t="s">
        <v>33</v>
      </c>
      <c r="I17" s="63" t="s">
        <v>33</v>
      </c>
      <c r="J17" s="63" t="s">
        <v>34</v>
      </c>
    </row>
    <row r="18" spans="1:10" ht="21">
      <c r="A18" t="s">
        <v>237</v>
      </c>
      <c r="C18" s="63" t="s">
        <v>33</v>
      </c>
      <c r="D18" s="63" t="s">
        <v>34</v>
      </c>
      <c r="E18" s="63" t="s">
        <v>34</v>
      </c>
      <c r="G18" s="63" t="s">
        <v>33</v>
      </c>
    </row>
    <row r="19" spans="1:10" ht="21">
      <c r="A19" t="s">
        <v>237</v>
      </c>
      <c r="C19" s="63" t="s">
        <v>34</v>
      </c>
      <c r="D19" s="63" t="s">
        <v>34</v>
      </c>
      <c r="E19" s="63" t="s">
        <v>34</v>
      </c>
      <c r="G19" s="63" t="s">
        <v>33</v>
      </c>
    </row>
    <row r="20" spans="1:10" ht="21">
      <c r="A20" t="s">
        <v>237</v>
      </c>
      <c r="C20" s="63" t="s">
        <v>34</v>
      </c>
      <c r="D20" s="63" t="s">
        <v>34</v>
      </c>
      <c r="E20" s="63" t="s">
        <v>34</v>
      </c>
      <c r="F20" s="63" t="s">
        <v>34</v>
      </c>
      <c r="G20" s="63" t="s">
        <v>34</v>
      </c>
      <c r="H20" s="63" t="s">
        <v>33</v>
      </c>
      <c r="I20" s="63" t="s">
        <v>33</v>
      </c>
      <c r="J20" s="63" t="s">
        <v>33</v>
      </c>
    </row>
    <row r="21" spans="1:10" ht="21">
      <c r="A21" t="s">
        <v>237</v>
      </c>
      <c r="C21" s="63" t="s">
        <v>33</v>
      </c>
      <c r="D21" s="63" t="s">
        <v>34</v>
      </c>
      <c r="E21" s="63" t="s">
        <v>34</v>
      </c>
      <c r="F21" s="63" t="s">
        <v>34</v>
      </c>
      <c r="G21" s="63" t="s">
        <v>34</v>
      </c>
      <c r="H21" s="63" t="s">
        <v>33</v>
      </c>
      <c r="I21" s="63" t="s">
        <v>33</v>
      </c>
      <c r="J21" s="63" t="s">
        <v>33</v>
      </c>
    </row>
  </sheetData>
  <mergeCells count="2">
    <mergeCell ref="L1:N1"/>
    <mergeCell ref="P1:AA1"/>
  </mergeCells>
  <conditionalFormatting sqref="C2:J2">
    <cfRule type="cellIs" dxfId="23" priority="67" operator="equal">
      <formula>"จบคำถามในส่วนที่ 1"</formula>
    </cfRule>
    <cfRule type="cellIs" dxfId="22" priority="68" stopIfTrue="1" operator="equal">
      <formula>"สอดคล้องตามนโยบาย และแผนความมั่นคงแห่งชาติฯ* หรือไม่ ?"</formula>
    </cfRule>
    <cfRule type="cellIs" dxfId="21" priority="69" operator="equal">
      <formula>"คลิกที่นี่ เพื่อประเมินระดับชั้นข้อมูล/ประเภทข้อมูล ต่อไป"</formula>
    </cfRule>
    <cfRule type="containsText" dxfId="20" priority="70" operator="containsText" text="เผยแพร่ภายในองค์กร">
      <formula>NOT(ISERROR(SEARCH("เผยแพร่ภายในองค์กร",C2)))</formula>
    </cfRule>
    <cfRule type="containsText" dxfId="19" priority="71" operator="containsText" text="ลับ ">
      <formula>NOT(ISERROR(SEARCH("ลับ ",C2)))</formula>
    </cfRule>
    <cfRule type="containsText" dxfId="18" priority="72" operator="containsText" text="ลับมาก">
      <formula>NOT(ISERROR(SEARCH("ลับมาก",C2)))</formula>
    </cfRule>
  </conditionalFormatting>
  <conditionalFormatting sqref="L2:N2">
    <cfRule type="cellIs" dxfId="17" priority="61" operator="equal">
      <formula>"จบคำถามในส่วนที่ 1"</formula>
    </cfRule>
    <cfRule type="cellIs" dxfId="16" priority="62" stopIfTrue="1" operator="equal">
      <formula>"สอดคล้องตามนโยบาย และแผนความมั่นคงแห่งชาติฯ* หรือไม่ ?"</formula>
    </cfRule>
    <cfRule type="cellIs" dxfId="15" priority="63" operator="equal">
      <formula>"คลิกที่นี่ เพื่อประเมินระดับชั้นข้อมูล/ประเภทข้อมูล ต่อไป"</formula>
    </cfRule>
    <cfRule type="containsText" dxfId="14" priority="64" operator="containsText" text="เผยแพร่ภายในองค์กร">
      <formula>NOT(ISERROR(SEARCH("เผยแพร่ภายในองค์กร",L2)))</formula>
    </cfRule>
    <cfRule type="containsText" dxfId="13" priority="65" operator="containsText" text="ลับ ">
      <formula>NOT(ISERROR(SEARCH("ลับ ",L2)))</formula>
    </cfRule>
    <cfRule type="containsText" dxfId="12" priority="66" operator="containsText" text="ลับมาก">
      <formula>NOT(ISERROR(SEARCH("ลับมาก",L2)))</formula>
    </cfRule>
  </conditionalFormatting>
  <conditionalFormatting sqref="L5:Y5">
    <cfRule type="cellIs" dxfId="11" priority="1" operator="equal">
      <formula>"จบคำถามในส่วนที่ 1"</formula>
    </cfRule>
    <cfRule type="cellIs" dxfId="10" priority="2" stopIfTrue="1" operator="equal">
      <formula>"สอดคล้องตามนโยบาย และแผนความมั่นคงแห่งชาติฯ* หรือไม่ ?"</formula>
    </cfRule>
    <cfRule type="cellIs" dxfId="9" priority="3" operator="equal">
      <formula>"คลิกที่นี่ เพื่อประเมินระดับชั้นข้อมูล/ประเภทข้อมูล ต่อไป"</formula>
    </cfRule>
    <cfRule type="containsText" dxfId="8" priority="4" operator="containsText" text="เผยแพร่ภายในองค์กร">
      <formula>NOT(ISERROR(SEARCH("เผยแพร่ภายในองค์กร",L5)))</formula>
    </cfRule>
    <cfRule type="containsText" dxfId="7" priority="5" operator="containsText" text="ลับ ">
      <formula>NOT(ISERROR(SEARCH("ลับ ",L5)))</formula>
    </cfRule>
    <cfRule type="containsText" dxfId="6" priority="6" operator="containsText" text="ลับมาก">
      <formula>NOT(ISERROR(SEARCH("ลับมาก",L5)))</formula>
    </cfRule>
  </conditionalFormatting>
  <conditionalFormatting sqref="P2:Y2">
    <cfRule type="cellIs" dxfId="5" priority="55" operator="equal">
      <formula>"จบคำถามในส่วนที่ 1"</formula>
    </cfRule>
    <cfRule type="cellIs" dxfId="4" priority="56" stopIfTrue="1" operator="equal">
      <formula>"สอดคล้องตามนโยบาย และแผนความมั่นคงแห่งชาติฯ* หรือไม่ ?"</formula>
    </cfRule>
    <cfRule type="cellIs" dxfId="3" priority="57" operator="equal">
      <formula>"คลิกที่นี่ เพื่อประเมินระดับชั้นข้อมูล/ประเภทข้อมูล ต่อไป"</formula>
    </cfRule>
    <cfRule type="containsText" dxfId="2" priority="58" operator="containsText" text="เผยแพร่ภายในองค์กร">
      <formula>NOT(ISERROR(SEARCH("เผยแพร่ภายในองค์กร",P2)))</formula>
    </cfRule>
    <cfRule type="containsText" dxfId="1" priority="59" operator="containsText" text="ลับ ">
      <formula>NOT(ISERROR(SEARCH("ลับ ",P2)))</formula>
    </cfRule>
    <cfRule type="containsText" dxfId="0" priority="60" operator="containsText" text="ลับมาก">
      <formula>NOT(ISERROR(SEARCH("ลับมาก",P2)))</formula>
    </cfRule>
  </conditionalFormatting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F86EF5-87C2-4968-8FB9-5EB37E66FC34}">
          <x14:formula1>
            <xm:f>Dropdown!$K$2:$K$3</xm:f>
          </x14:formula1>
          <xm:sqref>G11:G12 I13:J16 E5:F5 C10:F12 C3:D7 F11:F15 H11:H15 H16:J17 H20:J21 C13:G21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เอกสาร" ma:contentTypeID="0x010100433C824368C7774DA5307ED783619189" ma:contentTypeVersion="20" ma:contentTypeDescription="สร้างเอกสารใหม่" ma:contentTypeScope="" ma:versionID="fd62f4d24b26f94036da277bc55d85ba">
  <xsd:schema xmlns:xsd="http://www.w3.org/2001/XMLSchema" xmlns:xs="http://www.w3.org/2001/XMLSchema" xmlns:p="http://schemas.microsoft.com/office/2006/metadata/properties" xmlns:ns2="64d50c82-18f1-4a69-ae65-6a9522edb560" xmlns:ns3="06e8e644-863e-450e-ba89-07bf36fe7082" targetNamespace="http://schemas.microsoft.com/office/2006/metadata/properties" ma:root="true" ma:fieldsID="b73a9e36ee5a53650374a3307c194d9e" ns2:_="" ns3:_="">
    <xsd:import namespace="64d50c82-18f1-4a69-ae65-6a9522edb560"/>
    <xsd:import namespace="06e8e644-863e-450e-ba89-07bf36fe70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d50c82-18f1-4a69-ae65-6a9522edb5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แท็กรูป" ma:readOnly="false" ma:fieldId="{5cf76f15-5ced-4ddc-b409-7134ff3c332f}" ma:taxonomyMulti="true" ma:sspId="c668fb4f-5676-43db-a53f-c3e5b68f4d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4" nillable="true" ma:displayName="สถานะการปิดงาน" ma:internalName="_x0e2a__x0e16__x0e32__x0e19__x0e30__x0e01__x0e32__x0e23__x0e1b__x0e34__x0e14__x0e07__x0e32__x0e19_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e8e644-863e-450e-ba89-07bf36fe708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แชร์กับ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แชร์พร้อมกับรายละเอียด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94a9e28-b4e0-4f50-a86a-d6b0eb1b5541}" ma:internalName="TaxCatchAll" ma:showField="CatchAllData" ma:web="06e8e644-863e-450e-ba89-07bf36fe70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ชนิดเนื้อหา"/>
        <xsd:element ref="dc:title" minOccurs="0" maxOccurs="1" ma:index="4" ma:displayName="ชื่อเรื่อง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d50c82-18f1-4a69-ae65-6a9522edb560">
      <Terms xmlns="http://schemas.microsoft.com/office/infopath/2007/PartnerControls"/>
    </lcf76f155ced4ddcb4097134ff3c332f>
    <TaxCatchAll xmlns="06e8e644-863e-450e-ba89-07bf36fe7082" xsi:nil="true"/>
    <_Flow_SignoffStatus xmlns="64d50c82-18f1-4a69-ae65-6a9522edb560" xsi:nil="true"/>
  </documentManagement>
</p:properties>
</file>

<file path=customXml/itemProps1.xml><?xml version="1.0" encoding="utf-8"?>
<ds:datastoreItem xmlns:ds="http://schemas.openxmlformats.org/officeDocument/2006/customXml" ds:itemID="{C3A9F27B-577A-4A38-9441-BAAFC139ADB2}"/>
</file>

<file path=customXml/itemProps2.xml><?xml version="1.0" encoding="utf-8"?>
<ds:datastoreItem xmlns:ds="http://schemas.openxmlformats.org/officeDocument/2006/customXml" ds:itemID="{3DF5FB58-BA93-4523-8160-EF4B327ED8BB}"/>
</file>

<file path=customXml/itemProps3.xml><?xml version="1.0" encoding="utf-8"?>
<ds:datastoreItem xmlns:ds="http://schemas.openxmlformats.org/officeDocument/2006/customXml" ds:itemID="{90E1073F-3A5F-4793-88A1-3AA66E2DF8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Supamas Pongpakin</dc:creator>
  <cp:keywords/>
  <dc:description/>
  <cp:lastModifiedBy>Tanatkris Ruangchawee</cp:lastModifiedBy>
  <cp:revision/>
  <dcterms:created xsi:type="dcterms:W3CDTF">2025-10-28T09:50:25Z</dcterms:created>
  <dcterms:modified xsi:type="dcterms:W3CDTF">2026-02-19T10:30:24Z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0x010100433C824368C7774DA5307ED783619189</vt:lpwstr>
  </property>
  <property fmtid="{D5CDD505-2E9C-101B-9397-08002B2CF9AE}" pid="3" name="MediaServiceImageTags">
    <vt:lpwstr/>
  </property>
</Properties>
</file>